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18195" windowHeight="11580"/>
  </bookViews>
  <sheets>
    <sheet name="СВОД 2015 (2)" sheetId="4" r:id="rId1"/>
    <sheet name="СВОД 2015" sheetId="3" r:id="rId2"/>
    <sheet name="СВОД 2014  весь 21 (2)" sheetId="2" r:id="rId3"/>
    <sheet name="2-09.02" sheetId="1" r:id="rId4"/>
  </sheets>
  <definedNames>
    <definedName name="_xlnm._FilterDatabase" localSheetId="3" hidden="1">'2-09.02'!#REF!</definedName>
    <definedName name="_xlnm._FilterDatabase" localSheetId="2" hidden="1">'СВОД 2014  весь 21 (2)'!$C$242:$C$246</definedName>
    <definedName name="_xlnm._FilterDatabase" localSheetId="1" hidden="1">'СВОД 2015'!$C$166:$C$170</definedName>
    <definedName name="_xlnm._FilterDatabase" localSheetId="0" hidden="1">'СВОД 2015 (2)'!$C$168:$C$172</definedName>
    <definedName name="_xlnm.Print_Titles" localSheetId="3">'2-09.02'!$6:$6</definedName>
    <definedName name="_xlnm.Print_Titles" localSheetId="2">'СВОД 2014  весь 21 (2)'!$6:$6</definedName>
    <definedName name="_xlnm.Print_Titles" localSheetId="1">'СВОД 2015'!$6:$6</definedName>
    <definedName name="_xlnm.Print_Titles" localSheetId="0">'СВОД 2015 (2)'!$6:$6</definedName>
    <definedName name="_xlnm.Print_Area" localSheetId="3">'2-09.02'!$A$1:$AJ$94</definedName>
    <definedName name="_xlnm.Print_Area" localSheetId="2">'СВОД 2014  весь 21 (2)'!$A$1:$AJ$309</definedName>
    <definedName name="_xlnm.Print_Area" localSheetId="1">'СВОД 2015'!$B$82:$AJ$116</definedName>
  </definedNames>
  <calcPr calcId="144525"/>
</workbook>
</file>

<file path=xl/calcChain.xml><?xml version="1.0" encoding="utf-8"?>
<calcChain xmlns="http://schemas.openxmlformats.org/spreadsheetml/2006/main">
  <c r="E191" i="4" l="1"/>
  <c r="G191" i="4" s="1"/>
  <c r="G192" i="4"/>
  <c r="G193" i="4"/>
  <c r="G190" i="4" l="1"/>
  <c r="G195" i="4"/>
  <c r="G194" i="4"/>
  <c r="E196" i="4"/>
  <c r="G189" i="4"/>
  <c r="G188" i="4"/>
  <c r="G186" i="4"/>
  <c r="F186" i="4"/>
  <c r="AG184" i="4"/>
  <c r="F182" i="4"/>
  <c r="E182" i="4"/>
  <c r="E186" i="4" s="1"/>
  <c r="G181" i="4"/>
  <c r="G182" i="4" s="1"/>
  <c r="AB176" i="4"/>
  <c r="G176" i="4"/>
  <c r="G175" i="4"/>
  <c r="G174" i="4"/>
  <c r="G172" i="4"/>
  <c r="G171" i="4"/>
  <c r="G169" i="4"/>
  <c r="F168" i="4"/>
  <c r="E168" i="4"/>
  <c r="E178" i="4" s="1"/>
  <c r="F167" i="4"/>
  <c r="G166" i="4"/>
  <c r="G165" i="4"/>
  <c r="F164" i="4"/>
  <c r="F178" i="4" s="1"/>
  <c r="G162" i="4"/>
  <c r="G161" i="4"/>
  <c r="G160" i="4"/>
  <c r="G159" i="4"/>
  <c r="G158" i="4"/>
  <c r="G155" i="4"/>
  <c r="G153" i="4"/>
  <c r="G152" i="4"/>
  <c r="Z149" i="4"/>
  <c r="G147" i="4"/>
  <c r="F145" i="4"/>
  <c r="E144" i="4"/>
  <c r="G144" i="4" s="1"/>
  <c r="E143" i="4"/>
  <c r="G143" i="4" s="1"/>
  <c r="G142" i="4"/>
  <c r="E141" i="4"/>
  <c r="G141" i="4" s="1"/>
  <c r="E140" i="4"/>
  <c r="G140" i="4" s="1"/>
  <c r="E139" i="4"/>
  <c r="G139" i="4" s="1"/>
  <c r="G138" i="4"/>
  <c r="E138" i="4"/>
  <c r="E137" i="4"/>
  <c r="G137" i="4" s="1"/>
  <c r="E136" i="4"/>
  <c r="G136" i="4" s="1"/>
  <c r="AD135" i="4"/>
  <c r="E135" i="4"/>
  <c r="G135" i="4" s="1"/>
  <c r="E134" i="4"/>
  <c r="G134" i="4" s="1"/>
  <c r="AA133" i="4"/>
  <c r="E133" i="4"/>
  <c r="G133" i="4" s="1"/>
  <c r="E132" i="4"/>
  <c r="G132" i="4" s="1"/>
  <c r="AA131" i="4"/>
  <c r="E131" i="4"/>
  <c r="G131" i="4" s="1"/>
  <c r="G130" i="4"/>
  <c r="E129" i="4"/>
  <c r="G129" i="4" s="1"/>
  <c r="G128" i="4"/>
  <c r="E128" i="4"/>
  <c r="E127" i="4"/>
  <c r="G127" i="4" s="1"/>
  <c r="E126" i="4"/>
  <c r="G126" i="4" s="1"/>
  <c r="E125" i="4"/>
  <c r="G125" i="4" s="1"/>
  <c r="AC124" i="4"/>
  <c r="E124" i="4"/>
  <c r="G124" i="4" s="1"/>
  <c r="E123" i="4"/>
  <c r="G123" i="4" s="1"/>
  <c r="E122" i="4"/>
  <c r="G122" i="4" s="1"/>
  <c r="AA121" i="4"/>
  <c r="G121" i="4"/>
  <c r="AA120" i="4"/>
  <c r="E120" i="4"/>
  <c r="G120" i="4" s="1"/>
  <c r="E119" i="4"/>
  <c r="G119" i="4" s="1"/>
  <c r="Z118" i="4"/>
  <c r="Y118" i="4"/>
  <c r="X118" i="4"/>
  <c r="W118" i="4"/>
  <c r="V118" i="4"/>
  <c r="U118" i="4"/>
  <c r="S118" i="4"/>
  <c r="R118" i="4"/>
  <c r="Q118" i="4"/>
  <c r="P118" i="4"/>
  <c r="O118" i="4"/>
  <c r="N118" i="4"/>
  <c r="L118" i="4"/>
  <c r="K118" i="4"/>
  <c r="J118" i="4"/>
  <c r="I118" i="4"/>
  <c r="H118" i="4"/>
  <c r="F118" i="4"/>
  <c r="E118" i="4"/>
  <c r="G117" i="4"/>
  <c r="G116" i="4"/>
  <c r="G115" i="4"/>
  <c r="G114" i="4"/>
  <c r="AA112" i="4"/>
  <c r="G112" i="4"/>
  <c r="G110" i="4"/>
  <c r="AA109" i="4"/>
  <c r="T109" i="4"/>
  <c r="T118" i="4" s="1"/>
  <c r="G109" i="4"/>
  <c r="AA108" i="4"/>
  <c r="G108" i="4"/>
  <c r="AA107" i="4"/>
  <c r="M107" i="4"/>
  <c r="M118" i="4" s="1"/>
  <c r="G107" i="4"/>
  <c r="AA106" i="4"/>
  <c r="G106" i="4"/>
  <c r="AA105" i="4"/>
  <c r="G105" i="4"/>
  <c r="AA104" i="4"/>
  <c r="G104" i="4"/>
  <c r="G103" i="4"/>
  <c r="AA102" i="4"/>
  <c r="G102" i="4"/>
  <c r="G101" i="4"/>
  <c r="G100" i="4"/>
  <c r="G99" i="4"/>
  <c r="AA98" i="4"/>
  <c r="G98" i="4"/>
  <c r="G97" i="4"/>
  <c r="G96" i="4"/>
  <c r="AA95" i="4"/>
  <c r="G95" i="4"/>
  <c r="G94" i="4"/>
  <c r="G93" i="4"/>
  <c r="G92" i="4"/>
  <c r="AA91" i="4"/>
  <c r="G91" i="4"/>
  <c r="AA90" i="4"/>
  <c r="G90" i="4"/>
  <c r="G89" i="4"/>
  <c r="AA88" i="4"/>
  <c r="G88" i="4"/>
  <c r="G87" i="4"/>
  <c r="AA86" i="4"/>
  <c r="G86" i="4"/>
  <c r="G85" i="4"/>
  <c r="G118" i="4" s="1"/>
  <c r="AF84" i="4"/>
  <c r="AE84" i="4"/>
  <c r="AD84" i="4"/>
  <c r="AC84" i="4"/>
  <c r="Z84" i="4"/>
  <c r="Y84" i="4"/>
  <c r="X84" i="4"/>
  <c r="W84" i="4"/>
  <c r="V84" i="4"/>
  <c r="T84" i="4"/>
  <c r="S84" i="4"/>
  <c r="R84" i="4"/>
  <c r="Q84" i="4"/>
  <c r="P84" i="4"/>
  <c r="O84" i="4"/>
  <c r="N84" i="4"/>
  <c r="L84" i="4"/>
  <c r="K84" i="4"/>
  <c r="I84" i="4"/>
  <c r="H84" i="4"/>
  <c r="F84" i="4"/>
  <c r="E84" i="4"/>
  <c r="G83" i="4"/>
  <c r="AB73" i="4"/>
  <c r="AA58" i="4"/>
  <c r="AA84" i="4" s="1"/>
  <c r="U45" i="4"/>
  <c r="U84" i="4" s="1"/>
  <c r="AB38" i="4"/>
  <c r="AB33" i="4"/>
  <c r="G32" i="4"/>
  <c r="G30" i="4"/>
  <c r="G29" i="4"/>
  <c r="G28" i="4"/>
  <c r="M27" i="4"/>
  <c r="G27" i="4"/>
  <c r="M26" i="4"/>
  <c r="M84" i="4" s="1"/>
  <c r="G26" i="4"/>
  <c r="G25" i="4"/>
  <c r="J24" i="4"/>
  <c r="J84" i="4" s="1"/>
  <c r="G23" i="4"/>
  <c r="G22" i="4"/>
  <c r="G21" i="4"/>
  <c r="G20" i="4"/>
  <c r="G19" i="4"/>
  <c r="G18" i="4"/>
  <c r="G17" i="4"/>
  <c r="G15" i="4"/>
  <c r="G14" i="4"/>
  <c r="G13" i="4"/>
  <c r="G11" i="4"/>
  <c r="G10" i="4"/>
  <c r="F165" i="3"/>
  <c r="F162" i="3"/>
  <c r="AG178" i="3"/>
  <c r="AB38" i="3"/>
  <c r="J24" i="3"/>
  <c r="AG142" i="3"/>
  <c r="AG127" i="3"/>
  <c r="AG121" i="3"/>
  <c r="AG122" i="3"/>
  <c r="AG130" i="3"/>
  <c r="AG135" i="3"/>
  <c r="AG117" i="3"/>
  <c r="AG120" i="3"/>
  <c r="AG125" i="3"/>
  <c r="AG118" i="3"/>
  <c r="AG138" i="3"/>
  <c r="AG137" i="3"/>
  <c r="AG139" i="3"/>
  <c r="AG141" i="3"/>
  <c r="AG124" i="3"/>
  <c r="AG129" i="3"/>
  <c r="AG126" i="3"/>
  <c r="AG131" i="3"/>
  <c r="AG133" i="3"/>
  <c r="AG136" i="3"/>
  <c r="AG134" i="3"/>
  <c r="AG119" i="3"/>
  <c r="G196" i="4" l="1"/>
  <c r="G84" i="4"/>
  <c r="AB84" i="4"/>
  <c r="AA118" i="4"/>
  <c r="G145" i="4"/>
  <c r="G168" i="4"/>
  <c r="G178" i="4" s="1"/>
  <c r="AG143" i="3"/>
  <c r="AK143" i="3" s="1"/>
  <c r="G197" i="3"/>
  <c r="AG197" i="3" s="1"/>
  <c r="G196" i="3"/>
  <c r="AG196" i="3" s="1"/>
  <c r="G195" i="3"/>
  <c r="AG195" i="3" s="1"/>
  <c r="G194" i="3"/>
  <c r="AG194" i="3" s="1"/>
  <c r="E193" i="3"/>
  <c r="G192" i="3"/>
  <c r="AG192" i="3" s="1"/>
  <c r="G191" i="3"/>
  <c r="AG191" i="3" s="1"/>
  <c r="G189" i="3"/>
  <c r="F189" i="3"/>
  <c r="AG182" i="3"/>
  <c r="F180" i="3"/>
  <c r="E180" i="3"/>
  <c r="E189" i="3" s="1"/>
  <c r="G179" i="3"/>
  <c r="AB174" i="3"/>
  <c r="G174" i="3"/>
  <c r="G173" i="3"/>
  <c r="G172" i="3"/>
  <c r="G170" i="3"/>
  <c r="G169" i="3"/>
  <c r="G167" i="3"/>
  <c r="F166" i="3"/>
  <c r="F176" i="3" s="1"/>
  <c r="E166" i="3"/>
  <c r="E176" i="3" s="1"/>
  <c r="G164" i="3"/>
  <c r="G163" i="3"/>
  <c r="G160" i="3"/>
  <c r="G159" i="3"/>
  <c r="G158" i="3"/>
  <c r="G157" i="3"/>
  <c r="G156" i="3"/>
  <c r="G153" i="3"/>
  <c r="G151" i="3"/>
  <c r="G150" i="3"/>
  <c r="Z147" i="3"/>
  <c r="G145" i="3"/>
  <c r="F143" i="3"/>
  <c r="E142" i="3"/>
  <c r="G142" i="3" s="1"/>
  <c r="E141" i="3"/>
  <c r="G141" i="3" s="1"/>
  <c r="G140" i="3"/>
  <c r="E139" i="3"/>
  <c r="G139" i="3" s="1"/>
  <c r="E138" i="3"/>
  <c r="G138" i="3" s="1"/>
  <c r="E137" i="3"/>
  <c r="G137" i="3" s="1"/>
  <c r="E136" i="3"/>
  <c r="G136" i="3" s="1"/>
  <c r="E135" i="3"/>
  <c r="G135" i="3" s="1"/>
  <c r="E134" i="3"/>
  <c r="G134" i="3" s="1"/>
  <c r="AD133" i="3"/>
  <c r="E133" i="3"/>
  <c r="G133" i="3" s="1"/>
  <c r="E132" i="3"/>
  <c r="G132" i="3" s="1"/>
  <c r="AA131" i="3"/>
  <c r="E131" i="3"/>
  <c r="G131" i="3" s="1"/>
  <c r="E130" i="3"/>
  <c r="G130" i="3" s="1"/>
  <c r="AA129" i="3"/>
  <c r="E129" i="3"/>
  <c r="G129" i="3" s="1"/>
  <c r="G128" i="3"/>
  <c r="E126" i="3"/>
  <c r="G126" i="3" s="1"/>
  <c r="E125" i="3"/>
  <c r="G125" i="3" s="1"/>
  <c r="E124" i="3"/>
  <c r="G124" i="3" s="1"/>
  <c r="E123" i="3"/>
  <c r="G123" i="3" s="1"/>
  <c r="AC122" i="3"/>
  <c r="E122" i="3"/>
  <c r="G122" i="3" s="1"/>
  <c r="E121" i="3"/>
  <c r="G121" i="3" s="1"/>
  <c r="E120" i="3"/>
  <c r="G120" i="3" s="1"/>
  <c r="E127" i="3"/>
  <c r="G127" i="3" s="1"/>
  <c r="AA119" i="3"/>
  <c r="G119" i="3"/>
  <c r="AA118" i="3"/>
  <c r="E118" i="3"/>
  <c r="G118" i="3" s="1"/>
  <c r="E117" i="3"/>
  <c r="G117" i="3" s="1"/>
  <c r="Z116" i="3"/>
  <c r="Y116" i="3"/>
  <c r="X116" i="3"/>
  <c r="W116" i="3"/>
  <c r="V116" i="3"/>
  <c r="U116" i="3"/>
  <c r="S116" i="3"/>
  <c r="R116" i="3"/>
  <c r="Q116" i="3"/>
  <c r="P116" i="3"/>
  <c r="O116" i="3"/>
  <c r="N116" i="3"/>
  <c r="L116" i="3"/>
  <c r="K116" i="3"/>
  <c r="J116" i="3"/>
  <c r="I116" i="3"/>
  <c r="H116" i="3"/>
  <c r="F116" i="3"/>
  <c r="E116" i="3"/>
  <c r="G115" i="3"/>
  <c r="G114" i="3"/>
  <c r="G113" i="3"/>
  <c r="G112" i="3"/>
  <c r="AA110" i="3"/>
  <c r="G110" i="3"/>
  <c r="G108" i="3"/>
  <c r="AA107" i="3"/>
  <c r="T107" i="3"/>
  <c r="T116" i="3" s="1"/>
  <c r="G107" i="3"/>
  <c r="AA106" i="3"/>
  <c r="G106" i="3"/>
  <c r="AA105" i="3"/>
  <c r="M105" i="3"/>
  <c r="M116" i="3" s="1"/>
  <c r="G105" i="3"/>
  <c r="AA104" i="3"/>
  <c r="G104" i="3"/>
  <c r="AA103" i="3"/>
  <c r="G103" i="3"/>
  <c r="AA102" i="3"/>
  <c r="G102" i="3"/>
  <c r="G101" i="3"/>
  <c r="AA100" i="3"/>
  <c r="G100" i="3"/>
  <c r="G99" i="3"/>
  <c r="G98" i="3"/>
  <c r="G97" i="3"/>
  <c r="AA96" i="3"/>
  <c r="G96" i="3"/>
  <c r="G95" i="3"/>
  <c r="G94" i="3"/>
  <c r="AA93" i="3"/>
  <c r="G93" i="3"/>
  <c r="G92" i="3"/>
  <c r="G91" i="3"/>
  <c r="G90" i="3"/>
  <c r="AA89" i="3"/>
  <c r="G89" i="3"/>
  <c r="AA88" i="3"/>
  <c r="G88" i="3"/>
  <c r="G87" i="3"/>
  <c r="AA86" i="3"/>
  <c r="G86" i="3"/>
  <c r="G85" i="3"/>
  <c r="AA84" i="3"/>
  <c r="G84" i="3"/>
  <c r="G83" i="3"/>
  <c r="G82" i="3"/>
  <c r="AF81" i="3"/>
  <c r="AE81" i="3"/>
  <c r="AD81" i="3"/>
  <c r="AC81" i="3"/>
  <c r="Z81" i="3"/>
  <c r="Y81" i="3"/>
  <c r="X81" i="3"/>
  <c r="W81" i="3"/>
  <c r="V81" i="3"/>
  <c r="T81" i="3"/>
  <c r="R81" i="3"/>
  <c r="Q81" i="3"/>
  <c r="P81" i="3"/>
  <c r="O81" i="3"/>
  <c r="N81" i="3"/>
  <c r="L81" i="3"/>
  <c r="K81" i="3"/>
  <c r="J81" i="3"/>
  <c r="I81" i="3"/>
  <c r="H81" i="3"/>
  <c r="E81" i="3"/>
  <c r="F81" i="3"/>
  <c r="G80" i="3"/>
  <c r="AB70" i="3"/>
  <c r="AA57" i="3"/>
  <c r="AA81" i="3" s="1"/>
  <c r="U45" i="3"/>
  <c r="U81" i="3" s="1"/>
  <c r="AB33" i="3"/>
  <c r="G32" i="3"/>
  <c r="G30" i="3"/>
  <c r="G29" i="3"/>
  <c r="G28" i="3"/>
  <c r="M27" i="3"/>
  <c r="G27" i="3"/>
  <c r="M26" i="3"/>
  <c r="M81" i="3" s="1"/>
  <c r="G26" i="3"/>
  <c r="G25" i="3"/>
  <c r="G23" i="3"/>
  <c r="G22" i="3"/>
  <c r="G21" i="3"/>
  <c r="G20" i="3"/>
  <c r="G19" i="3"/>
  <c r="G18" i="3"/>
  <c r="G17" i="3"/>
  <c r="G15" i="3"/>
  <c r="G14" i="3"/>
  <c r="G13" i="3"/>
  <c r="G11" i="3"/>
  <c r="G10" i="3"/>
  <c r="S81" i="3"/>
  <c r="E303" i="2"/>
  <c r="G302" i="2"/>
  <c r="AG302" i="2" s="1"/>
  <c r="AG301" i="2"/>
  <c r="G300" i="2"/>
  <c r="AG300" i="2" s="1"/>
  <c r="AG299" i="2"/>
  <c r="G298" i="2"/>
  <c r="G303" i="2" s="1"/>
  <c r="G296" i="2"/>
  <c r="AG296" i="2" s="1"/>
  <c r="G295" i="2"/>
  <c r="AG295" i="2" s="1"/>
  <c r="G294" i="2"/>
  <c r="AG294" i="2" s="1"/>
  <c r="G293" i="2"/>
  <c r="AG293" i="2" s="1"/>
  <c r="E292" i="2"/>
  <c r="E297" i="2" s="1"/>
  <c r="G291" i="2"/>
  <c r="AG291" i="2" s="1"/>
  <c r="G290" i="2"/>
  <c r="E289" i="2"/>
  <c r="G288" i="2"/>
  <c r="AG288" i="2" s="1"/>
  <c r="F287" i="2"/>
  <c r="G287" i="2" s="1"/>
  <c r="E286" i="2"/>
  <c r="G285" i="2"/>
  <c r="AG285" i="2" s="1"/>
  <c r="F285" i="2"/>
  <c r="F286" i="2" s="1"/>
  <c r="AG284" i="2"/>
  <c r="AG286" i="2" s="1"/>
  <c r="G284" i="2"/>
  <c r="G286" i="2" s="1"/>
  <c r="G282" i="2"/>
  <c r="F282" i="2"/>
  <c r="AG281" i="2"/>
  <c r="AG280" i="2"/>
  <c r="AG279" i="2"/>
  <c r="AG278" i="2"/>
  <c r="AG277" i="2"/>
  <c r="AG276" i="2"/>
  <c r="AG282" i="2" s="1"/>
  <c r="AG275" i="2"/>
  <c r="AG274" i="2"/>
  <c r="F273" i="2"/>
  <c r="E273" i="2"/>
  <c r="E282" i="2" s="1"/>
  <c r="AG272" i="2"/>
  <c r="G272" i="2"/>
  <c r="AG271" i="2"/>
  <c r="G271" i="2"/>
  <c r="AG270" i="2"/>
  <c r="AG273" i="2" s="1"/>
  <c r="G270" i="2"/>
  <c r="G273" i="2" s="1"/>
  <c r="AG268" i="2"/>
  <c r="AG267" i="2"/>
  <c r="AG269" i="2" s="1"/>
  <c r="AB267" i="2"/>
  <c r="AG265" i="2"/>
  <c r="G265" i="2"/>
  <c r="AG264" i="2"/>
  <c r="G264" i="2"/>
  <c r="AG263" i="2"/>
  <c r="G263" i="2"/>
  <c r="AG262" i="2"/>
  <c r="G262" i="2"/>
  <c r="AG261" i="2"/>
  <c r="G261" i="2"/>
  <c r="AG260" i="2"/>
  <c r="G260" i="2"/>
  <c r="AG259" i="2"/>
  <c r="G259" i="2"/>
  <c r="AG258" i="2"/>
  <c r="G258" i="2"/>
  <c r="AG257" i="2"/>
  <c r="G257" i="2"/>
  <c r="AG256" i="2"/>
  <c r="G256" i="2"/>
  <c r="AG255" i="2"/>
  <c r="G255" i="2"/>
  <c r="AG254" i="2"/>
  <c r="G254" i="2"/>
  <c r="AG253" i="2"/>
  <c r="G253" i="2"/>
  <c r="AG252" i="2"/>
  <c r="G252" i="2"/>
  <c r="AG251" i="2"/>
  <c r="AB250" i="2"/>
  <c r="G250" i="2"/>
  <c r="AG250" i="2" s="1"/>
  <c r="AG249" i="2"/>
  <c r="G249" i="2"/>
  <c r="AG248" i="2"/>
  <c r="G248" i="2"/>
  <c r="AG247" i="2"/>
  <c r="G246" i="2"/>
  <c r="AG246" i="2" s="1"/>
  <c r="G245" i="2"/>
  <c r="AG245" i="2" s="1"/>
  <c r="AG244" i="2"/>
  <c r="AG243" i="2"/>
  <c r="G243" i="2"/>
  <c r="F242" i="2"/>
  <c r="F266" i="2" s="1"/>
  <c r="E242" i="2"/>
  <c r="E266" i="2" s="1"/>
  <c r="AG241" i="2"/>
  <c r="G241" i="2"/>
  <c r="AG240" i="2"/>
  <c r="G239" i="2"/>
  <c r="AG239" i="2" s="1"/>
  <c r="G238" i="2"/>
  <c r="AG238" i="2" s="1"/>
  <c r="AG237" i="2"/>
  <c r="AG236" i="2"/>
  <c r="G236" i="2"/>
  <c r="AG235" i="2"/>
  <c r="G235" i="2"/>
  <c r="AG234" i="2"/>
  <c r="G234" i="2"/>
  <c r="AG233" i="2"/>
  <c r="G233" i="2"/>
  <c r="AG232" i="2"/>
  <c r="G232" i="2"/>
  <c r="AG231" i="2"/>
  <c r="AG230" i="2"/>
  <c r="AG229" i="2"/>
  <c r="G229" i="2"/>
  <c r="AG228" i="2"/>
  <c r="G227" i="2"/>
  <c r="AG227" i="2" s="1"/>
  <c r="G226" i="2"/>
  <c r="AG226" i="2" s="1"/>
  <c r="AG225" i="2"/>
  <c r="AG224" i="2"/>
  <c r="Z223" i="2"/>
  <c r="AG223" i="2" s="1"/>
  <c r="AG222" i="2"/>
  <c r="AG221" i="2"/>
  <c r="G221" i="2"/>
  <c r="AG220" i="2"/>
  <c r="F219" i="2"/>
  <c r="E218" i="2"/>
  <c r="G218" i="2" s="1"/>
  <c r="AG218" i="2" s="1"/>
  <c r="G217" i="2"/>
  <c r="AG217" i="2" s="1"/>
  <c r="E217" i="2"/>
  <c r="G216" i="2"/>
  <c r="G215" i="2"/>
  <c r="AG215" i="2" s="1"/>
  <c r="E215" i="2"/>
  <c r="E214" i="2"/>
  <c r="G214" i="2" s="1"/>
  <c r="AG214" i="2" s="1"/>
  <c r="G213" i="2"/>
  <c r="AG213" i="2" s="1"/>
  <c r="E213" i="2"/>
  <c r="E212" i="2"/>
  <c r="G212" i="2" s="1"/>
  <c r="AG212" i="2" s="1"/>
  <c r="G211" i="2"/>
  <c r="AG211" i="2" s="1"/>
  <c r="E211" i="2"/>
  <c r="E210" i="2"/>
  <c r="G210" i="2" s="1"/>
  <c r="AG210" i="2" s="1"/>
  <c r="AD209" i="2"/>
  <c r="E209" i="2"/>
  <c r="G209" i="2" s="1"/>
  <c r="AG209" i="2" s="1"/>
  <c r="G208" i="2"/>
  <c r="AG208" i="2" s="1"/>
  <c r="E208" i="2"/>
  <c r="AA207" i="2"/>
  <c r="G207" i="2"/>
  <c r="AG207" i="2" s="1"/>
  <c r="E207" i="2"/>
  <c r="E206" i="2"/>
  <c r="G206" i="2" s="1"/>
  <c r="AG206" i="2" s="1"/>
  <c r="AA205" i="2"/>
  <c r="E205" i="2"/>
  <c r="G205" i="2" s="1"/>
  <c r="AG205" i="2" s="1"/>
  <c r="G204" i="2"/>
  <c r="AG204" i="2" s="1"/>
  <c r="G203" i="2"/>
  <c r="AG203" i="2" s="1"/>
  <c r="E203" i="2"/>
  <c r="E202" i="2"/>
  <c r="G202" i="2" s="1"/>
  <c r="AG202" i="2" s="1"/>
  <c r="G201" i="2"/>
  <c r="AG201" i="2" s="1"/>
  <c r="E201" i="2"/>
  <c r="E200" i="2"/>
  <c r="G200" i="2" s="1"/>
  <c r="AG200" i="2" s="1"/>
  <c r="AC199" i="2"/>
  <c r="E199" i="2"/>
  <c r="G199" i="2" s="1"/>
  <c r="AG199" i="2" s="1"/>
  <c r="G198" i="2"/>
  <c r="AG198" i="2" s="1"/>
  <c r="E198" i="2"/>
  <c r="E197" i="2"/>
  <c r="G197" i="2" s="1"/>
  <c r="AG197" i="2" s="1"/>
  <c r="G196" i="2"/>
  <c r="AG196" i="2" s="1"/>
  <c r="E196" i="2"/>
  <c r="AA195" i="2"/>
  <c r="G195" i="2"/>
  <c r="AG195" i="2" s="1"/>
  <c r="AA194" i="2"/>
  <c r="E194" i="2"/>
  <c r="G194" i="2" s="1"/>
  <c r="AG194" i="2" s="1"/>
  <c r="G193" i="2"/>
  <c r="AG193" i="2" s="1"/>
  <c r="E193" i="2"/>
  <c r="Z192" i="2"/>
  <c r="Y192" i="2"/>
  <c r="X192" i="2"/>
  <c r="W192" i="2"/>
  <c r="V192" i="2"/>
  <c r="U192" i="2"/>
  <c r="S192" i="2"/>
  <c r="R192" i="2"/>
  <c r="Q192" i="2"/>
  <c r="P192" i="2"/>
  <c r="O192" i="2"/>
  <c r="N192" i="2"/>
  <c r="L192" i="2"/>
  <c r="K192" i="2"/>
  <c r="J192" i="2"/>
  <c r="I192" i="2"/>
  <c r="H192" i="2"/>
  <c r="F192" i="2"/>
  <c r="E192" i="2"/>
  <c r="AA191" i="2"/>
  <c r="G191" i="2"/>
  <c r="AG191" i="2" s="1"/>
  <c r="AA190" i="2"/>
  <c r="G190" i="2"/>
  <c r="AG189" i="2"/>
  <c r="G189" i="2"/>
  <c r="AG188" i="2"/>
  <c r="G187" i="2"/>
  <c r="AG187" i="2" s="1"/>
  <c r="G186" i="2"/>
  <c r="AG186" i="2" s="1"/>
  <c r="G185" i="2"/>
  <c r="AG185" i="2" s="1"/>
  <c r="G184" i="2"/>
  <c r="AG184" i="2" s="1"/>
  <c r="AG183" i="2"/>
  <c r="AA182" i="2"/>
  <c r="G182" i="2"/>
  <c r="AG182" i="2" s="1"/>
  <c r="AG181" i="2"/>
  <c r="AG180" i="2"/>
  <c r="G180" i="2"/>
  <c r="AA179" i="2"/>
  <c r="T179" i="2"/>
  <c r="AG179" i="2" s="1"/>
  <c r="G179" i="2"/>
  <c r="AA178" i="2"/>
  <c r="G178" i="2"/>
  <c r="AG178" i="2" s="1"/>
  <c r="AA177" i="2"/>
  <c r="M177" i="2"/>
  <c r="M192" i="2" s="1"/>
  <c r="G177" i="2"/>
  <c r="AG177" i="2" s="1"/>
  <c r="AA176" i="2"/>
  <c r="G176" i="2"/>
  <c r="AA175" i="2"/>
  <c r="G175" i="2"/>
  <c r="AG175" i="2" s="1"/>
  <c r="AA174" i="2"/>
  <c r="G174" i="2"/>
  <c r="AG174" i="2" s="1"/>
  <c r="AG173" i="2"/>
  <c r="G173" i="2"/>
  <c r="AA172" i="2"/>
  <c r="G172" i="2"/>
  <c r="AG172" i="2" s="1"/>
  <c r="G171" i="2"/>
  <c r="AG171" i="2" s="1"/>
  <c r="G170" i="2"/>
  <c r="AG170" i="2" s="1"/>
  <c r="G169" i="2"/>
  <c r="AG169" i="2" s="1"/>
  <c r="AA168" i="2"/>
  <c r="G168" i="2"/>
  <c r="AG168" i="2" s="1"/>
  <c r="AG167" i="2"/>
  <c r="G167" i="2"/>
  <c r="AG166" i="2"/>
  <c r="G166" i="2"/>
  <c r="AA165" i="2"/>
  <c r="G165" i="2"/>
  <c r="AG165" i="2" s="1"/>
  <c r="G164" i="2"/>
  <c r="AG164" i="2" s="1"/>
  <c r="G163" i="2"/>
  <c r="AG163" i="2" s="1"/>
  <c r="G162" i="2"/>
  <c r="AG162" i="2" s="1"/>
  <c r="AA161" i="2"/>
  <c r="G161" i="2"/>
  <c r="AG161" i="2" s="1"/>
  <c r="AA160" i="2"/>
  <c r="G160" i="2"/>
  <c r="AG160" i="2" s="1"/>
  <c r="G159" i="2"/>
  <c r="AG159" i="2" s="1"/>
  <c r="AA158" i="2"/>
  <c r="G158" i="2"/>
  <c r="AG158" i="2" s="1"/>
  <c r="AG157" i="2"/>
  <c r="G157" i="2"/>
  <c r="AG156" i="2"/>
  <c r="G156" i="2"/>
  <c r="AA155" i="2"/>
  <c r="AA192" i="2" s="1"/>
  <c r="G155" i="2"/>
  <c r="AG155" i="2" s="1"/>
  <c r="G154" i="2"/>
  <c r="AG154" i="2" s="1"/>
  <c r="G153" i="2"/>
  <c r="AF152" i="2"/>
  <c r="AE152" i="2"/>
  <c r="AD152" i="2"/>
  <c r="AC152" i="2"/>
  <c r="Z152" i="2"/>
  <c r="Y152" i="2"/>
  <c r="X152" i="2"/>
  <c r="W152" i="2"/>
  <c r="V152" i="2"/>
  <c r="T152" i="2"/>
  <c r="R152" i="2"/>
  <c r="Q152" i="2"/>
  <c r="P152" i="2"/>
  <c r="O152" i="2"/>
  <c r="N152" i="2"/>
  <c r="L152" i="2"/>
  <c r="K152" i="2"/>
  <c r="J152" i="2"/>
  <c r="I152" i="2"/>
  <c r="H152" i="2"/>
  <c r="E152" i="2"/>
  <c r="AG151" i="2"/>
  <c r="G151" i="2"/>
  <c r="AG150" i="2"/>
  <c r="G150" i="2"/>
  <c r="AG149" i="2"/>
  <c r="G149" i="2"/>
  <c r="AG148" i="2"/>
  <c r="G148" i="2"/>
  <c r="AG147" i="2"/>
  <c r="G147" i="2"/>
  <c r="AG146" i="2"/>
  <c r="G146" i="2"/>
  <c r="AG145" i="2"/>
  <c r="G145" i="2"/>
  <c r="AG144" i="2"/>
  <c r="G144" i="2"/>
  <c r="AG143" i="2"/>
  <c r="G143" i="2"/>
  <c r="AG142" i="2"/>
  <c r="G142" i="2"/>
  <c r="AG141" i="2"/>
  <c r="G141" i="2"/>
  <c r="AG140" i="2"/>
  <c r="G140" i="2"/>
  <c r="AG139" i="2"/>
  <c r="G139" i="2"/>
  <c r="AG138" i="2"/>
  <c r="G138" i="2"/>
  <c r="AG137" i="2"/>
  <c r="G137" i="2"/>
  <c r="AG136" i="2"/>
  <c r="G136" i="2"/>
  <c r="AG135" i="2"/>
  <c r="G135" i="2"/>
  <c r="AG134" i="2"/>
  <c r="G134" i="2"/>
  <c r="AG133" i="2"/>
  <c r="G133" i="2"/>
  <c r="AG132" i="2"/>
  <c r="G132" i="2"/>
  <c r="AG131" i="2"/>
  <c r="G131" i="2"/>
  <c r="AG130" i="2"/>
  <c r="G130" i="2"/>
  <c r="AG129" i="2"/>
  <c r="G129" i="2"/>
  <c r="AG128" i="2"/>
  <c r="G128" i="2"/>
  <c r="AG127" i="2"/>
  <c r="G127" i="2"/>
  <c r="AG126" i="2"/>
  <c r="G126" i="2"/>
  <c r="AG125" i="2"/>
  <c r="G125" i="2"/>
  <c r="AG124" i="2"/>
  <c r="G124" i="2"/>
  <c r="AG123" i="2"/>
  <c r="G123" i="2"/>
  <c r="AG122" i="2"/>
  <c r="G122" i="2"/>
  <c r="AG121" i="2"/>
  <c r="G121" i="2"/>
  <c r="AG120" i="2"/>
  <c r="G120" i="2"/>
  <c r="AG119" i="2"/>
  <c r="G119" i="2"/>
  <c r="AG118" i="2"/>
  <c r="G118" i="2"/>
  <c r="AG117" i="2"/>
  <c r="G117" i="2"/>
  <c r="AG116" i="2"/>
  <c r="G116" i="2"/>
  <c r="AG115" i="2"/>
  <c r="G115" i="2"/>
  <c r="AG114" i="2"/>
  <c r="G114" i="2"/>
  <c r="AG113" i="2"/>
  <c r="G113" i="2"/>
  <c r="AG112" i="2"/>
  <c r="G112" i="2"/>
  <c r="AG111" i="2"/>
  <c r="G111" i="2"/>
  <c r="AG110" i="2"/>
  <c r="G110" i="2"/>
  <c r="AG109" i="2"/>
  <c r="G109" i="2"/>
  <c r="AG108" i="2"/>
  <c r="G108" i="2"/>
  <c r="AG107" i="2"/>
  <c r="G107" i="2"/>
  <c r="AG106" i="2"/>
  <c r="G106" i="2"/>
  <c r="AG105" i="2"/>
  <c r="G105" i="2"/>
  <c r="AG104" i="2"/>
  <c r="G104" i="2"/>
  <c r="AG103" i="2"/>
  <c r="G103" i="2"/>
  <c r="AG102" i="2"/>
  <c r="G102" i="2"/>
  <c r="AG101" i="2"/>
  <c r="G101" i="2"/>
  <c r="AG100" i="2"/>
  <c r="G100" i="2"/>
  <c r="AG99" i="2"/>
  <c r="G99" i="2"/>
  <c r="AG98" i="2"/>
  <c r="G98" i="2"/>
  <c r="AG97" i="2"/>
  <c r="G97" i="2"/>
  <c r="AG96" i="2"/>
  <c r="F96" i="2"/>
  <c r="G96" i="2" s="1"/>
  <c r="AG95" i="2"/>
  <c r="G95" i="2"/>
  <c r="AG94" i="2"/>
  <c r="G94" i="2"/>
  <c r="AG93" i="2"/>
  <c r="G93" i="2"/>
  <c r="AG92" i="2"/>
  <c r="G92" i="2"/>
  <c r="AG91" i="2"/>
  <c r="G91" i="2"/>
  <c r="AG90" i="2"/>
  <c r="G90" i="2"/>
  <c r="AG89" i="2"/>
  <c r="G89" i="2"/>
  <c r="AG88" i="2"/>
  <c r="G88" i="2"/>
  <c r="AG87" i="2"/>
  <c r="AG86" i="2"/>
  <c r="AG85" i="2"/>
  <c r="AG84" i="2"/>
  <c r="AG83" i="2"/>
  <c r="AG82" i="2"/>
  <c r="AG81" i="2"/>
  <c r="AG80" i="2"/>
  <c r="AG79" i="2"/>
  <c r="AB78" i="2"/>
  <c r="AG78" i="2" s="1"/>
  <c r="AG77" i="2"/>
  <c r="AG76" i="2"/>
  <c r="AG75" i="2"/>
  <c r="AG74" i="2"/>
  <c r="AG73" i="2"/>
  <c r="AG72" i="2"/>
  <c r="AG71" i="2"/>
  <c r="AG70" i="2"/>
  <c r="AG69" i="2"/>
  <c r="AG68" i="2"/>
  <c r="AG67" i="2"/>
  <c r="AG66" i="2"/>
  <c r="AB66" i="2"/>
  <c r="AG65" i="2"/>
  <c r="AG64" i="2"/>
  <c r="AG63" i="2"/>
  <c r="AA62" i="2"/>
  <c r="AA152" i="2" s="1"/>
  <c r="AG61" i="2"/>
  <c r="AG60" i="2"/>
  <c r="AG59" i="2"/>
  <c r="AG58" i="2"/>
  <c r="AG57" i="2"/>
  <c r="AG56" i="2"/>
  <c r="AG55" i="2"/>
  <c r="AG54" i="2"/>
  <c r="AG53" i="2"/>
  <c r="AG52" i="2"/>
  <c r="AG51" i="2"/>
  <c r="AG50" i="2"/>
  <c r="U49" i="2"/>
  <c r="U152" i="2" s="1"/>
  <c r="AG48" i="2"/>
  <c r="AG47" i="2"/>
  <c r="AG46" i="2"/>
  <c r="AG45" i="2"/>
  <c r="AG44" i="2"/>
  <c r="AG43" i="2"/>
  <c r="AB42" i="2"/>
  <c r="AG42" i="2" s="1"/>
  <c r="AG41" i="2"/>
  <c r="AG40" i="2"/>
  <c r="AG39" i="2"/>
  <c r="AG38" i="2"/>
  <c r="AB37" i="2"/>
  <c r="AB152" i="2" s="1"/>
  <c r="G36" i="2"/>
  <c r="AG36" i="2" s="1"/>
  <c r="AG35" i="2"/>
  <c r="AG34" i="2"/>
  <c r="G34" i="2"/>
  <c r="AG33" i="2"/>
  <c r="G33" i="2"/>
  <c r="AG32" i="2"/>
  <c r="G32" i="2"/>
  <c r="M31" i="2"/>
  <c r="G31" i="2"/>
  <c r="AG31" i="2" s="1"/>
  <c r="M30" i="2"/>
  <c r="M152" i="2" s="1"/>
  <c r="G30" i="2"/>
  <c r="AG30" i="2" s="1"/>
  <c r="AG29" i="2"/>
  <c r="G29" i="2"/>
  <c r="AG28" i="2"/>
  <c r="G28" i="2"/>
  <c r="AG27" i="2"/>
  <c r="G26" i="2"/>
  <c r="AG26" i="2" s="1"/>
  <c r="G25" i="2"/>
  <c r="AG25" i="2" s="1"/>
  <c r="G24" i="2"/>
  <c r="AG24" i="2" s="1"/>
  <c r="G23" i="2"/>
  <c r="AG23" i="2" s="1"/>
  <c r="G22" i="2"/>
  <c r="AG22" i="2" s="1"/>
  <c r="G21" i="2"/>
  <c r="AG21" i="2" s="1"/>
  <c r="G20" i="2"/>
  <c r="AG20" i="2" s="1"/>
  <c r="G19" i="2"/>
  <c r="AG19" i="2" s="1"/>
  <c r="AG18" i="2"/>
  <c r="AG17" i="2"/>
  <c r="G17" i="2"/>
  <c r="AG16" i="2"/>
  <c r="G16" i="2"/>
  <c r="AG15" i="2"/>
  <c r="G15" i="2"/>
  <c r="AG14" i="2"/>
  <c r="G13" i="2"/>
  <c r="AG13" i="2" s="1"/>
  <c r="G12" i="2"/>
  <c r="AG12" i="2" s="1"/>
  <c r="S11" i="2"/>
  <c r="S152" i="2" s="1"/>
  <c r="G11" i="2"/>
  <c r="AG11" i="2" s="1"/>
  <c r="AG10" i="2"/>
  <c r="G10" i="2"/>
  <c r="AG9" i="2"/>
  <c r="AG8" i="2"/>
  <c r="E203" i="4" l="1"/>
  <c r="AB81" i="3"/>
  <c r="AA116" i="3"/>
  <c r="G116" i="3"/>
  <c r="G143" i="3"/>
  <c r="AG180" i="3"/>
  <c r="AG189" i="3"/>
  <c r="AG81" i="3"/>
  <c r="G180" i="3"/>
  <c r="E198" i="3"/>
  <c r="G193" i="3"/>
  <c r="AG193" i="3" s="1"/>
  <c r="AG198" i="3" s="1"/>
  <c r="G166" i="3"/>
  <c r="AG176" i="3" s="1"/>
  <c r="F152" i="2"/>
  <c r="G192" i="2"/>
  <c r="AG153" i="2"/>
  <c r="AG176" i="2"/>
  <c r="AG190" i="2"/>
  <c r="T192" i="2"/>
  <c r="AG219" i="2"/>
  <c r="G289" i="2"/>
  <c r="AG287" i="2"/>
  <c r="AG289" i="2" s="1"/>
  <c r="G152" i="2"/>
  <c r="AG37" i="2"/>
  <c r="AG152" i="2" s="1"/>
  <c r="AG49" i="2"/>
  <c r="AG62" i="2"/>
  <c r="G219" i="2"/>
  <c r="F289" i="2"/>
  <c r="AG290" i="2"/>
  <c r="G292" i="2"/>
  <c r="AG292" i="2" s="1"/>
  <c r="AG298" i="2"/>
  <c r="AG303" i="2" s="1"/>
  <c r="G242" i="2"/>
  <c r="AG242" i="2" s="1"/>
  <c r="AG266" i="2" s="1"/>
  <c r="G198" i="3" l="1"/>
  <c r="E205" i="3"/>
  <c r="G176" i="3"/>
  <c r="AG116" i="3"/>
  <c r="G81" i="3"/>
  <c r="AG297" i="2"/>
  <c r="G266" i="2"/>
  <c r="G297" i="2"/>
  <c r="E310" i="2" s="1"/>
  <c r="AG192" i="2"/>
  <c r="AG311" i="2" s="1"/>
  <c r="AG206" i="3" l="1"/>
  <c r="E98" i="1"/>
  <c r="G88" i="1"/>
  <c r="AG87" i="1"/>
  <c r="AG88" i="1" s="1"/>
  <c r="G86" i="1"/>
  <c r="AG85" i="1"/>
  <c r="AG86" i="1" s="1"/>
  <c r="F85" i="1"/>
  <c r="F86" i="1" s="1"/>
  <c r="AG84" i="1"/>
  <c r="AG83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H82" i="1"/>
  <c r="E82" i="1"/>
  <c r="G81" i="1"/>
  <c r="AG81" i="1" s="1"/>
  <c r="F81" i="1"/>
  <c r="AG80" i="1"/>
  <c r="F80" i="1"/>
  <c r="AG79" i="1"/>
  <c r="F79" i="1"/>
  <c r="AG78" i="1"/>
  <c r="F78" i="1"/>
  <c r="AG77" i="1"/>
  <c r="F77" i="1"/>
  <c r="AG76" i="1"/>
  <c r="AG75" i="1"/>
  <c r="F75" i="1"/>
  <c r="AG74" i="1"/>
  <c r="F74" i="1"/>
  <c r="AG73" i="1"/>
  <c r="F73" i="1"/>
  <c r="AG72" i="1"/>
  <c r="F72" i="1"/>
  <c r="AG71" i="1"/>
  <c r="F71" i="1"/>
  <c r="AG70" i="1"/>
  <c r="F70" i="1"/>
  <c r="AG69" i="1"/>
  <c r="F69" i="1"/>
  <c r="AG68" i="1"/>
  <c r="F68" i="1"/>
  <c r="AG67" i="1"/>
  <c r="F67" i="1"/>
  <c r="AG66" i="1"/>
  <c r="F66" i="1"/>
  <c r="AG65" i="1"/>
  <c r="F65" i="1"/>
  <c r="AG64" i="1"/>
  <c r="F64" i="1"/>
  <c r="AG63" i="1"/>
  <c r="F63" i="1"/>
  <c r="I62" i="1"/>
  <c r="AG62" i="1" s="1"/>
  <c r="F62" i="1"/>
  <c r="AG61" i="1"/>
  <c r="F61" i="1"/>
  <c r="AG60" i="1"/>
  <c r="AG59" i="1"/>
  <c r="AG58" i="1"/>
  <c r="F58" i="1"/>
  <c r="F82" i="1" s="1"/>
  <c r="AH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AG56" i="1"/>
  <c r="E56" i="1"/>
  <c r="F56" i="1" s="1"/>
  <c r="AG55" i="1"/>
  <c r="F55" i="1"/>
  <c r="AG54" i="1"/>
  <c r="F54" i="1"/>
  <c r="E54" i="1"/>
  <c r="AG53" i="1"/>
  <c r="E53" i="1"/>
  <c r="F53" i="1" s="1"/>
  <c r="AG52" i="1"/>
  <c r="F52" i="1"/>
  <c r="AG51" i="1"/>
  <c r="F51" i="1"/>
  <c r="E51" i="1"/>
  <c r="AG50" i="1"/>
  <c r="F50" i="1"/>
  <c r="AG49" i="1"/>
  <c r="E49" i="1"/>
  <c r="F49" i="1" s="1"/>
  <c r="AG48" i="1"/>
  <c r="F48" i="1"/>
  <c r="AG47" i="1"/>
  <c r="F47" i="1"/>
  <c r="E47" i="1"/>
  <c r="AG46" i="1"/>
  <c r="F46" i="1"/>
  <c r="AG45" i="1"/>
  <c r="F45" i="1"/>
  <c r="AG44" i="1"/>
  <c r="F44" i="1"/>
  <c r="AG43" i="1"/>
  <c r="F43" i="1"/>
  <c r="AG42" i="1"/>
  <c r="E42" i="1"/>
  <c r="F42" i="1" s="1"/>
  <c r="AG41" i="1"/>
  <c r="F41" i="1"/>
  <c r="E41" i="1"/>
  <c r="AG40" i="1"/>
  <c r="E40" i="1"/>
  <c r="F40" i="1" s="1"/>
  <c r="AG39" i="1"/>
  <c r="F39" i="1"/>
  <c r="E39" i="1"/>
  <c r="AG38" i="1"/>
  <c r="G37" i="1"/>
  <c r="G57" i="1" s="1"/>
  <c r="E37" i="1"/>
  <c r="F37" i="1" s="1"/>
  <c r="AG36" i="1"/>
  <c r="F36" i="1"/>
  <c r="F57" i="1" s="1"/>
  <c r="E36" i="1"/>
  <c r="E57" i="1" s="1"/>
  <c r="AG35" i="1"/>
  <c r="G35" i="1"/>
  <c r="E35" i="1"/>
  <c r="H35" i="1" s="1"/>
  <c r="AG34" i="1"/>
  <c r="F34" i="1"/>
  <c r="AG33" i="1"/>
  <c r="F33" i="1"/>
  <c r="AG32" i="1"/>
  <c r="F32" i="1"/>
  <c r="AG31" i="1"/>
  <c r="F31" i="1"/>
  <c r="AG30" i="1"/>
  <c r="F30" i="1"/>
  <c r="AG29" i="1"/>
  <c r="F29" i="1"/>
  <c r="AG28" i="1"/>
  <c r="F28" i="1"/>
  <c r="AG27" i="1"/>
  <c r="F27" i="1"/>
  <c r="AG26" i="1"/>
  <c r="F26" i="1"/>
  <c r="AG25" i="1"/>
  <c r="F25" i="1"/>
  <c r="AG24" i="1"/>
  <c r="F24" i="1"/>
  <c r="AG23" i="1"/>
  <c r="F23" i="1"/>
  <c r="AG22" i="1"/>
  <c r="F22" i="1"/>
  <c r="AG21" i="1"/>
  <c r="F21" i="1"/>
  <c r="AG20" i="1"/>
  <c r="F20" i="1"/>
  <c r="F35" i="1" s="1"/>
  <c r="AG19" i="1"/>
  <c r="F19" i="1"/>
  <c r="AG18" i="1"/>
  <c r="F18" i="1"/>
  <c r="I17" i="1"/>
  <c r="G17" i="1"/>
  <c r="F17" i="1"/>
  <c r="AG16" i="1"/>
  <c r="AG15" i="1"/>
  <c r="AG14" i="1"/>
  <c r="F14" i="1"/>
  <c r="J13" i="1"/>
  <c r="AG13" i="1" s="1"/>
  <c r="J12" i="1"/>
  <c r="AG12" i="1" s="1"/>
  <c r="AG11" i="1"/>
  <c r="AG10" i="1"/>
  <c r="F10" i="1"/>
  <c r="AG9" i="1"/>
  <c r="F9" i="1"/>
  <c r="AG8" i="1"/>
  <c r="F8" i="1"/>
  <c r="AG17" i="1" l="1"/>
  <c r="AG82" i="1"/>
  <c r="G82" i="1"/>
  <c r="I82" i="1"/>
  <c r="AG37" i="1"/>
  <c r="AG57" i="1" s="1"/>
</calcChain>
</file>

<file path=xl/sharedStrings.xml><?xml version="1.0" encoding="utf-8"?>
<sst xmlns="http://schemas.openxmlformats.org/spreadsheetml/2006/main" count="2208" uniqueCount="737">
  <si>
    <t xml:space="preserve">Зміни №1 до додатку до річного плану державних закупівель на 2015 рік        </t>
  </si>
  <si>
    <t xml:space="preserve"> ДУ "Інститут охорони здоров'я  дітей та підлітків Національної академії медичних наук України"              </t>
  </si>
  <si>
    <t xml:space="preserve">згідно державного класифікатору продукції та послуг ДК 016:2010, затвердженого наказом Державного комітету України з питань технічного регулювання та споживчої політики від 11.10.2010 р. № 457                                                </t>
  </si>
  <si>
    <t xml:space="preserve"> ПРЕДМЕТ ЗАКУПІВЛІ</t>
  </si>
  <si>
    <t>Код КЕКВ (для бюджетних кощтів)</t>
  </si>
  <si>
    <t>в т.ч.:</t>
  </si>
  <si>
    <t xml:space="preserve"> Очікувана вартість предмета закупівлі,грн.</t>
  </si>
  <si>
    <t>Примітки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</si>
  <si>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</si>
  <si>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</si>
  <si>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</si>
  <si>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</si>
  <si>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</si>
  <si>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</si>
  <si>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</si>
  <si>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</si>
  <si>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</si>
  <si>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</si>
  <si>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</si>
  <si>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</si>
  <si>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</si>
  <si>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</si>
  <si>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</si>
  <si>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</si>
  <si>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</si>
  <si>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</si>
  <si>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</si>
  <si>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</si>
  <si>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№21</t>
  </si>
  <si>
    <t>№22</t>
  </si>
  <si>
    <t>№23</t>
  </si>
  <si>
    <t>№24</t>
  </si>
  <si>
    <t xml:space="preserve"> Очікувана вартість предмета закупівлі, грн.</t>
  </si>
  <si>
    <t>Процедура закупівлі</t>
  </si>
  <si>
    <t>Орієнтовний початок проведення процедури закупівлі</t>
  </si>
  <si>
    <t>Загальний фонд</t>
  </si>
  <si>
    <t>Спеціальний фонд</t>
  </si>
  <si>
    <t>Кліника</t>
  </si>
  <si>
    <t>Паливо рідинне та газ; оливи мастильні ( в т.ч. Бензин моторний (газолін), зокрема авіаційний бензин)</t>
  </si>
  <si>
    <t>19.20.2</t>
  </si>
  <si>
    <t xml:space="preserve"> +500,00 спеціальний фонд</t>
  </si>
  <si>
    <t>Елементи радіоактивні, інші, ізотопи та їхні сполуки; сплави, дисперсії, вироби керамічні та суміші, з умістом таких елементів, ізотопів або сполук</t>
  </si>
  <si>
    <t>20.13.13-00.00</t>
  </si>
  <si>
    <t>Папір і картон оброблені</t>
  </si>
  <si>
    <t>17.12.7</t>
  </si>
  <si>
    <t xml:space="preserve"> +329,00 спеціальний фонд</t>
  </si>
  <si>
    <t>Вироби канцелярські, паперові(в т.ч Конверти, листівки поштові закриті, листівки поштові неілюстровані та листівки паперові чи картонні; коробки, сумки, гаманці й поштові набори для писання, паперові чи картонні, з умістом канцелярського паперу (в т.ч.Журнали реєстраційні, бухгалтерські книги, швидкозшивачі, формуляри та інші канцелярські вироби, паперові чи картонні)</t>
  </si>
  <si>
    <t>17.23.1</t>
  </si>
  <si>
    <t xml:space="preserve"> +2500,00 спеціальний фонд</t>
  </si>
  <si>
    <t>Солі інших металів (20.13.51-10.00   Манганіти, манганати та перманганати; молібдати; вольфрамати)</t>
  </si>
  <si>
    <t>20.13.5</t>
  </si>
  <si>
    <t xml:space="preserve"> +102,00 спеціальний фонд</t>
  </si>
  <si>
    <t>Кислоти монокарбонові жирні технічні; кислоти карбонові та їхні солі</t>
  </si>
  <si>
    <t>20.14.3</t>
  </si>
  <si>
    <t xml:space="preserve"> +705,00 спеціальний фонд</t>
  </si>
  <si>
    <t>Посуд столовий і кухонний, інші предмети господарської призначеності та предмети для туалету, пластмасові</t>
  </si>
  <si>
    <t>22.29.2</t>
  </si>
  <si>
    <t xml:space="preserve"> -329,00 спеціальний фонд</t>
  </si>
  <si>
    <t>Машини обчислювальні, частини та приладдя до них</t>
  </si>
  <si>
    <t>26.20.1</t>
  </si>
  <si>
    <t xml:space="preserve"> +346,00 спеціальний фонд</t>
  </si>
  <si>
    <t>Холодильники та морозильники; машини пральні; електроковдри; вентилятори(холодильник відділення ендокринології) (натуральні надходження)</t>
  </si>
  <si>
    <t>27.51.1</t>
  </si>
  <si>
    <t xml:space="preserve"> +2300с/ф (натуральні надходження холодильник відділення ендокринології)</t>
  </si>
  <si>
    <t>Разом по КЕКВ  2210</t>
  </si>
  <si>
    <t>Екстракти фарбувальні та дубильні; таніни та їхні похідні; речовини фарбувальні, н. в. і. у.</t>
  </si>
  <si>
    <t xml:space="preserve"> 20.12.2</t>
  </si>
  <si>
    <t>Елементи хімічні, н. в. і. у.; кислоти та сполуки неорганічні</t>
  </si>
  <si>
    <t>20.13.2</t>
  </si>
  <si>
    <t xml:space="preserve"> +211,43 загальний фонд</t>
  </si>
  <si>
    <t>Вуглеводні та їхні похідні</t>
  </si>
  <si>
    <t>20.14.1</t>
  </si>
  <si>
    <t>Спирти, феноли, фенолоспирти та їхні галогено-, сульфо-, нітрони нітрозопохідні; спирти жирні технічні</t>
  </si>
  <si>
    <t>20.14.2</t>
  </si>
  <si>
    <t>Сполуки органічні з азотною функційною групою</t>
  </si>
  <si>
    <t>20.14.4</t>
  </si>
  <si>
    <t xml:space="preserve"> -211,43 загальний фонд</t>
  </si>
  <si>
    <t>Продукти хімічні органічні, основні, різноманітні</t>
  </si>
  <si>
    <t>20.14.7</t>
  </si>
  <si>
    <t>Фотопластинки й фотоплівки, плівка для миттєвого друку; фотохімікати та фотографічні незмішані речовини</t>
  </si>
  <si>
    <t>20.59.1</t>
  </si>
  <si>
    <t>Продукти хімічні різноманітні</t>
  </si>
  <si>
    <t>20.59.5</t>
  </si>
  <si>
    <t>Лізин, глутамінова кислота та їхні солі; солі та гідроксиди амонію четвертинні; фосфоаміноліліди; аміди та їхні похідні й солі з цих речовин</t>
  </si>
  <si>
    <t xml:space="preserve"> 21.10.2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</si>
  <si>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</t>
  </si>
  <si>
    <t>21.10.3</t>
  </si>
  <si>
    <t>Цукри хімічно чисті, н. в. і. у.; ефіри та естери цукрів і їхні солі, н. в. і. у.</t>
  </si>
  <si>
    <t xml:space="preserve"> 21.10.4</t>
  </si>
  <si>
    <t>Провітаміни, вітаміни й гормони; глікозиди та алкалоїди рослинного походження та їхні похідні; антибіотики</t>
  </si>
  <si>
    <t xml:space="preserve"> 21.10.5</t>
  </si>
  <si>
    <t>Залози та інші органи, екстракти цих речовин та інші речовини людського чи тваринного походження, н. в. і. у.</t>
  </si>
  <si>
    <t xml:space="preserve"> 21.10.6</t>
  </si>
  <si>
    <t>Ліки</t>
  </si>
  <si>
    <t>21.20.1</t>
  </si>
  <si>
    <t>Препарати фармацевтичні, інші</t>
  </si>
  <si>
    <t xml:space="preserve"> 21.20.2</t>
  </si>
  <si>
    <t>Скло технічне та інше скло</t>
  </si>
  <si>
    <t>23.19.2</t>
  </si>
  <si>
    <t>Вироби медичної та хірургічної призначеності, інші</t>
  </si>
  <si>
    <t>32.50.5</t>
  </si>
  <si>
    <t>Разом по КЕКВ  2220</t>
  </si>
  <si>
    <t>Овочі листкові</t>
  </si>
  <si>
    <t>01.13.1</t>
  </si>
  <si>
    <t>Овочі коренеплідні, цибулинні та бульбоплідні, інші (з низьким умістом крохмалю та інуліну)</t>
  </si>
  <si>
    <t>01.13.4</t>
  </si>
  <si>
    <t>Коренеплоди та бульби їстівні з високим умістом крохмалю та інуліну</t>
  </si>
  <si>
    <t>01.13.5</t>
  </si>
  <si>
    <t>Молоко та вершки, рідинні, оброблені</t>
  </si>
  <si>
    <t>10.51.1</t>
  </si>
  <si>
    <t>Яйця у шкаралупі, свіжі</t>
  </si>
  <si>
    <t>01.47.2</t>
  </si>
  <si>
    <t>М'ясо свійської птиці, свіже чи охолоджене</t>
  </si>
  <si>
    <t xml:space="preserve"> 10.12.1</t>
  </si>
  <si>
    <t>Продукція рибна, свіжа, охолоджена чи заморожена</t>
  </si>
  <si>
    <t>10.20.1</t>
  </si>
  <si>
    <t>Плоди та овочі, оброблені та законсервовані, крім картоплі</t>
  </si>
  <si>
    <t>10.39.1</t>
  </si>
  <si>
    <t>Плоди й горіхи, оброблені та законсервовані</t>
  </si>
  <si>
    <t>10.39.2</t>
  </si>
  <si>
    <t>Олії рафіновані</t>
  </si>
  <si>
    <t>10.41.5</t>
  </si>
  <si>
    <t>Рис напівобрушений чи повністю обрушений, або лущений чи дроблений</t>
  </si>
  <si>
    <t>10.61.1</t>
  </si>
  <si>
    <t>Борошно зернових і овочевих культур; їхні суміші</t>
  </si>
  <si>
    <t>10.61.2</t>
  </si>
  <si>
    <t>Крупи, крупка, гранули та інші продукти з зерна зернових культур</t>
  </si>
  <si>
    <t xml:space="preserve">10.61.3 </t>
  </si>
  <si>
    <t>Вироби хлібобулочні, кондитерські та кулінарні, борошняні, нетривалого зберігання</t>
  </si>
  <si>
    <t>10.71.1</t>
  </si>
  <si>
    <t>Цукор-сирець, тростинний і очищений тростинний чи буряковий цукор (сахароза); меляса</t>
  </si>
  <si>
    <t>10.81.1</t>
  </si>
  <si>
    <t>Чай і кава, оброблені</t>
  </si>
  <si>
    <t>10.83.1</t>
  </si>
  <si>
    <t>Оцет; соуси; суміші приправ; борошно та крупка гірчичні; гірчиця готова</t>
  </si>
  <si>
    <t>10.84.1</t>
  </si>
  <si>
    <t>Прянощі, оброблені</t>
  </si>
  <si>
    <t>10.84.2</t>
  </si>
  <si>
    <t>Сіль харчова</t>
  </si>
  <si>
    <t>10.84.3</t>
  </si>
  <si>
    <t>Супи, яйця, дріжджі та інші харчові продукти; екстракти та соки з м'яса, риби й водяних безхребетних</t>
  </si>
  <si>
    <t>10.89.1</t>
  </si>
  <si>
    <t>Солі металів галоїдні; гіпохлорити, хлорати й перхлорати</t>
  </si>
  <si>
    <t>20.13.3</t>
  </si>
  <si>
    <t>Разом по КЕКВ 2230</t>
  </si>
  <si>
    <t>Послуги палітурні та послуги, пов'язані з оправлянням</t>
  </si>
  <si>
    <t>18.14.1</t>
  </si>
  <si>
    <t>Ремонтування та технічне обслуговування машин загальної призначеності</t>
  </si>
  <si>
    <t>33.12.1</t>
  </si>
  <si>
    <t xml:space="preserve"> +5424,32 спеціальний фонд</t>
  </si>
  <si>
    <t>Ремонтування та технічне обслуговування електронного й оптичного устатковання</t>
  </si>
  <si>
    <t>33.13.1</t>
  </si>
  <si>
    <t xml:space="preserve"> +3840,00 спеціальний фонд</t>
  </si>
  <si>
    <t>Збирання безпечних відходів, непридатних для вторинного використовування</t>
  </si>
  <si>
    <t>38.11.2</t>
  </si>
  <si>
    <t xml:space="preserve"> +5597,28 спеціальний фонд</t>
  </si>
  <si>
    <t>Послуги підприємств щодо перевезення безпечних відходів</t>
  </si>
  <si>
    <t>38.11.6</t>
  </si>
  <si>
    <t xml:space="preserve"> -5597,28 спеціальний фонд</t>
  </si>
  <si>
    <t>Послуги підприємств щодо перевезення небезпечних відходів</t>
  </si>
  <si>
    <t>38.12.3</t>
  </si>
  <si>
    <t>Послуги щодо рекультивування та спеціалізованої боротьби із забрудненням, інші</t>
  </si>
  <si>
    <t>39.00.2</t>
  </si>
  <si>
    <t>Послуги щодо передавання даних і повідомлень</t>
  </si>
  <si>
    <t>61.10.1</t>
  </si>
  <si>
    <t xml:space="preserve"> +180,00 спеціальний фонд</t>
  </si>
  <si>
    <t>Послуги зв'язку Інтернетом проводовими мережами</t>
  </si>
  <si>
    <t>61.10.4</t>
  </si>
  <si>
    <t>Послуги щодо проектування та розробляння у сфері інформаційних технологій для прикладних завдань</t>
  </si>
  <si>
    <t>62.01.1</t>
  </si>
  <si>
    <t>Послуги щодо консультування стосовно систем і програмного забезпечення</t>
  </si>
  <si>
    <t>62.02.2</t>
  </si>
  <si>
    <t>Послуги щодо обробляння даних, розміщування інформації на веб-вузлах, щодо програмного застосування та інші послуги щодо забезпечення інформаційно-технологічною інфраструктурою</t>
  </si>
  <si>
    <t>63.11.1</t>
  </si>
  <si>
    <t xml:space="preserve"> +312,00 спеціальний фонд</t>
  </si>
  <si>
    <t>Послуги інформаційні, інші, н. в. і. у.</t>
  </si>
  <si>
    <t>63.99.1</t>
  </si>
  <si>
    <t>Послуги щодо грошового посередництва, інші, н. в. і. у.</t>
  </si>
  <si>
    <t>64.19.3</t>
  </si>
  <si>
    <t>Послуги щодо страхування життя</t>
  </si>
  <si>
    <t>65.11.1</t>
  </si>
  <si>
    <t>Послуги щодо страхування автотранспорту</t>
  </si>
  <si>
    <t>65.12.2</t>
  </si>
  <si>
    <t>Послуги щодо технічного випробовування й аналізування</t>
  </si>
  <si>
    <t>71.20.1</t>
  </si>
  <si>
    <t>Послуги щодо надання професійної та технічної допомоги та консультаційні, н. в. і. у.</t>
  </si>
  <si>
    <t>74.90.1</t>
  </si>
  <si>
    <t>Послуги систем безпеки</t>
  </si>
  <si>
    <t>80.20.1</t>
  </si>
  <si>
    <t xml:space="preserve"> +2891,40 спеціальний фонд</t>
  </si>
  <si>
    <t>Послуги щодо очищування, інші</t>
  </si>
  <si>
    <t>81.29.1</t>
  </si>
  <si>
    <t>Послуги у сфері громадського порядку та громадської безпеки</t>
  </si>
  <si>
    <t>84.24.1</t>
  </si>
  <si>
    <t xml:space="preserve"> +908,60 спеціальний фонд</t>
  </si>
  <si>
    <t>Послуги лікувальних закладів</t>
  </si>
  <si>
    <t>86.10.1</t>
  </si>
  <si>
    <t>Ремонтування комп'ютерів і периферійного устатковання</t>
  </si>
  <si>
    <t>95.11.1</t>
  </si>
  <si>
    <t xml:space="preserve"> +1036,00 спеціальний фонд</t>
  </si>
  <si>
    <t>Послуги щодо прання та хімічного чищення текстильних і хутряних виробів</t>
  </si>
  <si>
    <t>96.01.1</t>
  </si>
  <si>
    <t>Разом по КЕКВ 2240</t>
  </si>
  <si>
    <t xml:space="preserve">Послуги каналізаційні </t>
  </si>
  <si>
    <t>37.00.1</t>
  </si>
  <si>
    <t>Разом по КЕКВ 2272</t>
  </si>
  <si>
    <t>Разом по КЕКВ 2282</t>
  </si>
  <si>
    <t>Устатковання радіологічне, електромедичне та електротерапевтичне устатковання</t>
  </si>
  <si>
    <t>26.60.1</t>
  </si>
  <si>
    <t>Разом по КЕКВ 3110</t>
  </si>
  <si>
    <t>Затверджений рішенням комітету з конкурсних торгів від 30.01.2014 р. №2</t>
  </si>
  <si>
    <t>Голова комітету з конкурсних торгів</t>
  </si>
  <si>
    <t>О.М.Носова</t>
  </si>
  <si>
    <t xml:space="preserve">(підпис)    М.П. </t>
  </si>
  <si>
    <t xml:space="preserve">(прізвище, ініціали)     </t>
  </si>
  <si>
    <t>_______________________</t>
  </si>
  <si>
    <t>Вик.Чернуха О.І. тел.62-40-16</t>
  </si>
  <si>
    <t>Код КЕКВ (для бюджетних коштів)</t>
  </si>
  <si>
    <t>Пряжа з рослинних текстильних волокон, крім бавовни (зокрема з льону, джуту, кокосового волокна та справжніх конопель); пряжа паперова</t>
  </si>
  <si>
    <t xml:space="preserve"> 13.10.7</t>
  </si>
  <si>
    <t>Тканини (крім спеціальних полотен) із хімічних монониток і штапельних волокон</t>
  </si>
  <si>
    <t>13.20.3</t>
  </si>
  <si>
    <t xml:space="preserve">Вироби текстильні готові для домашнього господарства(натур.надходження)                  </t>
  </si>
  <si>
    <t>13.92.1</t>
  </si>
  <si>
    <t>1275,00</t>
  </si>
  <si>
    <t>Вироби текстильні готові, інші (ганчір'я) (натуральні надходження)</t>
  </si>
  <si>
    <t>13.92.2</t>
  </si>
  <si>
    <t>Одяг дитячий, одяг інший та аксесуари одягу інші, з текстильного полотна, крім трикотажних</t>
  </si>
  <si>
    <t>14.19.2</t>
  </si>
  <si>
    <t>+162,00</t>
  </si>
  <si>
    <t>Вироби з деревини, інші</t>
  </si>
  <si>
    <t>16.29.1</t>
  </si>
  <si>
    <t>+39,20</t>
  </si>
  <si>
    <t>Вироби з корка, соломи та інших матеріалів, придатних для плетіння; вироби кошикові та плетені вироби</t>
  </si>
  <si>
    <t>16.29.2</t>
  </si>
  <si>
    <t>Папір газетний, папір ручного виготовляння та інший некрейдований папір, або картон для графічних цілей</t>
  </si>
  <si>
    <t xml:space="preserve"> 17.12.1</t>
  </si>
  <si>
    <t>+18,00</t>
  </si>
  <si>
    <t>Серветки паперові туалетні, серветки для обличчя, рушники, скатертини-серветки, целюлозна вата й полотна з целюлозних волокон</t>
  </si>
  <si>
    <t xml:space="preserve"> 17.12.2</t>
  </si>
  <si>
    <t>+26,50</t>
  </si>
  <si>
    <t>+2071,90</t>
  </si>
  <si>
    <t>Папір побутовий і туалетний та паперова продукція</t>
  </si>
  <si>
    <t>17.22.1</t>
  </si>
  <si>
    <t>Вироби паперові та картонні, інші</t>
  </si>
  <si>
    <t>17.29.1</t>
  </si>
  <si>
    <t>Гази промислові</t>
  </si>
  <si>
    <t>20.11.1</t>
  </si>
  <si>
    <t>20.12.2</t>
  </si>
  <si>
    <t>20.13.1</t>
  </si>
  <si>
    <t>+46,60</t>
  </si>
  <si>
    <t>Сполуки сіркоорганічні та інші органічно-неорганічні сполуки; гетероциклічні сполуки, н. в. і. у.(натур.надходження)</t>
  </si>
  <si>
    <t>20.14.5</t>
  </si>
  <si>
    <t>1074,00</t>
  </si>
  <si>
    <t>Поліетіленгліколь 6000 (ПЕГ)</t>
  </si>
  <si>
    <t>20.16.4</t>
  </si>
  <si>
    <t>Фарби та лаки на основі полімерів</t>
  </si>
  <si>
    <t>20.30.1</t>
  </si>
  <si>
    <t>Фарби та лаки, інші, та пов'язана з ними продукція; барвники художні та друкарські чорнила</t>
  </si>
  <si>
    <t>20.30.2</t>
  </si>
  <si>
    <t>Мило, засоби мийні та засоби для чищення</t>
  </si>
  <si>
    <t>20.41.3</t>
  </si>
  <si>
    <t>Клеї</t>
  </si>
  <si>
    <t xml:space="preserve"> 20.52.1</t>
  </si>
  <si>
    <t>Чорнило для писання чи малювання та інші чорнила</t>
  </si>
  <si>
    <t>20.59.3</t>
  </si>
  <si>
    <t>Засоби змащувальні; присадки; речовини антифризні готові</t>
  </si>
  <si>
    <t>20.59.4</t>
  </si>
  <si>
    <t>Продукти хімічні різноманітні(натур.надходження)</t>
  </si>
  <si>
    <t>830,00</t>
  </si>
  <si>
    <t>Препарати фармацевтичні, інші ( VEGF-ІФА,(Вектор Бест-лаб.імун) (натуральні надходження)</t>
  </si>
  <si>
    <t>Шини та камери ґумові нові</t>
  </si>
  <si>
    <t xml:space="preserve"> 22.11.1</t>
  </si>
  <si>
    <t>Ґума невулканізована та вироби з неї; ґума вулканізована, крім твердої ґуми, ґуми у формі ниток, кордів, пластин, листів, стрічок, стрижнів і профілів</t>
  </si>
  <si>
    <t xml:space="preserve"> 22.19.2</t>
  </si>
  <si>
    <t>Труби, трубки та шланги з вулканізованої ґуми (крім виготовлених з твердої ґуми)</t>
  </si>
  <si>
    <t xml:space="preserve"> 22.19.3</t>
  </si>
  <si>
    <t>Предмети одягу та аксесуари одягу з вулканізованої ґуми (крім виготовлених з твердої ґуми)</t>
  </si>
  <si>
    <t>22.19.6</t>
  </si>
  <si>
    <t>Вироби з вулканізованої ґуми, н. в. і. у.; ґума тверда; вироби з твердої ґуми</t>
  </si>
  <si>
    <t>22.19.7</t>
  </si>
  <si>
    <t>Труби, трубки, шланги та фітинги до них пластмасові</t>
  </si>
  <si>
    <t>22.21.2</t>
  </si>
  <si>
    <t>+117,55</t>
  </si>
  <si>
    <t>Пластини, листи, плівка, фольга та стрічки з пластмас, інші</t>
  </si>
  <si>
    <t>22.21.4</t>
  </si>
  <si>
    <t>Вироби пластмасові для будівництва; лінолеум і покриви на підлогу, тверді, не пластикові(Двері, вікна й рами віконні та пороги для дверей, підвіконня, віконниці, жалюзі та подібні вироби і їхні частини, пластмасові)</t>
  </si>
  <si>
    <t>22.23.1</t>
  </si>
  <si>
    <t>Вироби пластмасові інші, н. в. і. у.</t>
  </si>
  <si>
    <t>Вироби вогнетривкі</t>
  </si>
  <si>
    <t>23.20.1</t>
  </si>
  <si>
    <t>+127,70</t>
  </si>
  <si>
    <t>Цемент</t>
  </si>
  <si>
    <t>23.51.1</t>
  </si>
  <si>
    <t>+331,50</t>
  </si>
  <si>
    <t>Гіпс</t>
  </si>
  <si>
    <t>23.52.2</t>
  </si>
  <si>
    <t>Продукти первинні з заліза та сталі (металобрухт) (натуральні надходження)</t>
  </si>
  <si>
    <t xml:space="preserve"> 24.10.1</t>
  </si>
  <si>
    <t>Фітинги до труб чи трубок зі сталі, не литі</t>
  </si>
  <si>
    <t>24.20.4</t>
  </si>
  <si>
    <t>+133,08</t>
  </si>
  <si>
    <t>Вироби ножові та столові прибори</t>
  </si>
  <si>
    <t>25.71.1</t>
  </si>
  <si>
    <t>Замки та завіси</t>
  </si>
  <si>
    <t>25.72.1</t>
  </si>
  <si>
    <t>+5,44</t>
  </si>
  <si>
    <t>Інструменти ручні для використання в сільському господарстві, садівництві чи лісовому господарстві</t>
  </si>
  <si>
    <t>25.73.1</t>
  </si>
  <si>
    <t>+464,55</t>
  </si>
  <si>
    <t>Пилки ручні, полотна до будь-яких пилок</t>
  </si>
  <si>
    <t>25.73.2</t>
  </si>
  <si>
    <t>+126,98</t>
  </si>
  <si>
    <t>Інструменти ручні, інші</t>
  </si>
  <si>
    <t>25.73.3</t>
  </si>
  <si>
    <t>Деталі змінні до ручних інструментів з механічним урухомлювачем/приводом чи без нього, або до верстатів</t>
  </si>
  <si>
    <t>25.73.4</t>
  </si>
  <si>
    <t>Вироби кріпильні та ґвинтонарізні</t>
  </si>
  <si>
    <t>25.94.1</t>
  </si>
  <si>
    <t>+137,19</t>
  </si>
  <si>
    <t>Вироби для ванн і кухні, металеві</t>
  </si>
  <si>
    <t>25.99.1</t>
  </si>
  <si>
    <t>+66,80</t>
  </si>
  <si>
    <t>25.99.2</t>
  </si>
  <si>
    <t>+16,80</t>
  </si>
  <si>
    <t>Схеми електронні інтегровані</t>
  </si>
  <si>
    <t xml:space="preserve"> 26.11.3</t>
  </si>
  <si>
    <t>Інструменти та прилади вимірювальні, контрольні та випробовувальні, інші(лічильник холодної води)</t>
  </si>
  <si>
    <t>26.51.6</t>
  </si>
  <si>
    <t>+1626,00</t>
  </si>
  <si>
    <t>Термостати, маностати та інші прилади й апаратура для автоматичного регулювання чи контролювання</t>
  </si>
  <si>
    <t>26.51.7</t>
  </si>
  <si>
    <t>Пристрої електромонтажні</t>
  </si>
  <si>
    <t>27.33.1</t>
  </si>
  <si>
    <t>Лампи розжарювання та газорозрядні електричні; лампи дугові</t>
  </si>
  <si>
    <t>27.40.1</t>
  </si>
  <si>
    <t>+1600,00</t>
  </si>
  <si>
    <t>+992,00</t>
  </si>
  <si>
    <t>Прилади електричні побутові, інші, н. в. і. у. (водонагрівач відділення гінекології) (натуральні надходження)</t>
  </si>
  <si>
    <t>27.51.2</t>
  </si>
  <si>
    <t>Крани, вентилі, клапани та подібні вироби до труб, котлів, резервуарів, цистерн і подібних виробів</t>
  </si>
  <si>
    <t>28.14.1</t>
  </si>
  <si>
    <t>+158,00</t>
  </si>
  <si>
    <t>Косарки для газонів, парків, спортивних майданчиків</t>
  </si>
  <si>
    <t>28.30.4</t>
  </si>
  <si>
    <t>+130,00</t>
  </si>
  <si>
    <t>Двигуни внутрішнього згоряння до моторних транспортних засобів</t>
  </si>
  <si>
    <t xml:space="preserve"> 29.10.1</t>
  </si>
  <si>
    <t>Устатковання електричне, інше, до моторних транспортних засобів і його частини</t>
  </si>
  <si>
    <t>29.31.2</t>
  </si>
  <si>
    <t>Частини та приладдя до моторних транспортних засобів, н. в. і. у.</t>
  </si>
  <si>
    <t>29.32.3</t>
  </si>
  <si>
    <t>Меблі для сидіння та їхні частини(натур.надходження)</t>
  </si>
  <si>
    <t>31.00.1</t>
  </si>
  <si>
    <t>1300,00</t>
  </si>
  <si>
    <t>Меблі конторські/офісні та меблі для підприємств торгівлі- столи (натуральні надходження)</t>
  </si>
  <si>
    <t xml:space="preserve"> 31.01.1</t>
  </si>
  <si>
    <t>Матраци</t>
  </si>
  <si>
    <t xml:space="preserve"> 31.03.1</t>
  </si>
  <si>
    <t>+1176,00</t>
  </si>
  <si>
    <t>Меблі, інші(ліжка.тумби, шафи)(натуральні надходження)</t>
  </si>
  <si>
    <t>31.09.1</t>
  </si>
  <si>
    <t>+5250,00</t>
  </si>
  <si>
    <t>Ігри, інші(настільні ігри відділення педіатрії) (натуральні надходження)</t>
  </si>
  <si>
    <t>32.40.4</t>
  </si>
  <si>
    <t>+516,00</t>
  </si>
  <si>
    <t>Інструменти і прилади медичні, хірургічні та стоматологічні</t>
  </si>
  <si>
    <t>32.50.1</t>
  </si>
  <si>
    <t>Мітли та щітки</t>
  </si>
  <si>
    <t>32.91.1</t>
  </si>
  <si>
    <t>+38,80</t>
  </si>
  <si>
    <t>Убори наголовні захисні; ручки для писання та олівці, дошки, штемпелі для датування, опечатування та нумерування; стрічки до друкарських машинок, штемпельні подушечки</t>
  </si>
  <si>
    <t xml:space="preserve"> 32.99.1</t>
  </si>
  <si>
    <t>Журнали та періодичні видання друковані</t>
  </si>
  <si>
    <t>58.14.1</t>
  </si>
  <si>
    <t>Продукція друкована інша( в т.ч.Марки поштові, гербові чи подібні нові; гербовий папір; чекові книжки; банкноти, акції, облігації та подібні цінні ,бланки мед))папери, друковані</t>
  </si>
  <si>
    <t>58.19.1</t>
  </si>
  <si>
    <t>+3000,00</t>
  </si>
  <si>
    <t>Вапняк і гіпс</t>
  </si>
  <si>
    <t xml:space="preserve"> 08.11.2</t>
  </si>
  <si>
    <t>Кредиторська заборгованість</t>
  </si>
  <si>
    <t>Вироби текстильні готові для домашнього господарства</t>
  </si>
  <si>
    <t>Одяг робочий, чоловічий</t>
  </si>
  <si>
    <t xml:space="preserve"> 14.12.1</t>
  </si>
  <si>
    <t>Взуття захисне та іншої призначеності, н. в. і. у.</t>
  </si>
  <si>
    <t>15.20.3</t>
  </si>
  <si>
    <t>Вироби з деревини, інші(в т.ч Інструменти, оправи та ручки до інструментів, частини та ручки до мітел або щіток, заготівки для виготовлення люльок, шевські колодки й розтяжки для взуття, з деревини)</t>
  </si>
  <si>
    <t>Добрива азотні, мінеральні чи хімічні</t>
  </si>
  <si>
    <t>20.15.3</t>
  </si>
  <si>
    <t>20.52.1</t>
  </si>
  <si>
    <t>Волокна синтетичні</t>
  </si>
  <si>
    <t>20.60.1</t>
  </si>
  <si>
    <t>Ґума регенерована в первинних формах або як пластини, листи чи стрічки</t>
  </si>
  <si>
    <t>22.19.1</t>
  </si>
  <si>
    <t>22.19.2</t>
  </si>
  <si>
    <t>22.19.3</t>
  </si>
  <si>
    <t>Вироби пластмасові для будівництва; лінолеум і покриви на підлогу, тверді, не пластикові</t>
  </si>
  <si>
    <t>Скло листове</t>
  </si>
  <si>
    <t xml:space="preserve"> 23.11.1</t>
  </si>
  <si>
    <t>Труби та трубки зовнішнього діаметра не більше ніж 406,4 мм, зі сталі, інші</t>
  </si>
  <si>
    <t>24.20.3</t>
  </si>
  <si>
    <t>Цистерни, резервуари та вмістища металеві, інші</t>
  </si>
  <si>
    <t>25.29.1</t>
  </si>
  <si>
    <t>Вироби з дроту, ланцюги та пружини</t>
  </si>
  <si>
    <t>25.93.1</t>
  </si>
  <si>
    <t>Вироби з недорогоцінних металів, інші (в т.ч.Фурнітура до швидкозшивачів або папок, канцелярські скріпки та подібні канцелярські вироби, скоби у блоках, з недорогоцінних металів)</t>
  </si>
  <si>
    <t>Карти звукові, відеокарти, мережеві карти та подібні карти до машин автоматичного обробляння інформації</t>
  </si>
  <si>
    <t>26.12.2</t>
  </si>
  <si>
    <t>Апаратура для записування та відтворювання звуку й зображення</t>
  </si>
  <si>
    <t>26.40.3</t>
  </si>
  <si>
    <t>Годинники (крім частин і годинникових механізмів)</t>
  </si>
  <si>
    <t>26.52.1</t>
  </si>
  <si>
    <t>Апаратура електрична для комутації чи захисту електричних кіл на напругу більше ніж 1000 В</t>
  </si>
  <si>
    <t xml:space="preserve"> 27.12.1</t>
  </si>
  <si>
    <t>Проводи та кабелі електронні й електричні, інші</t>
  </si>
  <si>
    <t>27.32.1</t>
  </si>
  <si>
    <t>Лампи розжарювання та газорозрядні електричні; лампи дугові</t>
  </si>
  <si>
    <t>Лампи та світильники, інші</t>
  </si>
  <si>
    <t>27.40.3</t>
  </si>
  <si>
    <t>Холодильники та морозильники; машини пральні; електроковдри; вентилятори(харчоблок)</t>
  </si>
  <si>
    <t>Крани, вентилі, клапани та подібні вироби до труб, котлів, резервуарів, цистерн і подібних виробів</t>
  </si>
  <si>
    <t>Частини кранів, клапанів і подібних виробів</t>
  </si>
  <si>
    <t>28.14.2</t>
  </si>
  <si>
    <t>Устатковання підіймальне та вантажне та частини до нього</t>
  </si>
  <si>
    <t>28.22.1</t>
  </si>
  <si>
    <t>Газогенератори, дистиляційні та фільтрувальні апарати</t>
  </si>
  <si>
    <t>28.29.1</t>
  </si>
  <si>
    <t>Частини іншого електричного устатковання до автомобілів і мотоциклів</t>
  </si>
  <si>
    <t>29.31.3</t>
  </si>
  <si>
    <t>Ремені безпеки, подушки безпеки, частини кузовів та приладдя до них</t>
  </si>
  <si>
    <t>29.32.2</t>
  </si>
  <si>
    <t>Меблі, інші</t>
  </si>
  <si>
    <t>Окуляри, лінзи та їхні частини</t>
  </si>
  <si>
    <t>32.50.4</t>
  </si>
  <si>
    <t>32.99.1</t>
  </si>
  <si>
    <t>Разом по КЕКВ 2210</t>
  </si>
  <si>
    <t xml:space="preserve"> 17.12.7</t>
  </si>
  <si>
    <t>Сульфіди, сульфати; нітрати, фосфати і карбонати</t>
  </si>
  <si>
    <t>20.13.4</t>
  </si>
  <si>
    <t>Солі інших металів</t>
  </si>
  <si>
    <t>Речовини хімічні неорганічні основні, інші, н. в. і. у.</t>
  </si>
  <si>
    <t>20.13.6</t>
  </si>
  <si>
    <t>-4905,39</t>
  </si>
  <si>
    <t>Сполуки сіркоорганічні та інші органічно-неорганічні сполуки; гетероциклічні сполуки, н. в. і. у.</t>
  </si>
  <si>
    <t>Ефіри, пероксиди, епоксиди, ацеталі та напівацеталі органічні; сполуки органічні, інші</t>
  </si>
  <si>
    <t>20.14.6</t>
  </si>
  <si>
    <t>Кислота азотна; кислоти сульфоазотні; аміак</t>
  </si>
  <si>
    <t>20.15.1</t>
  </si>
  <si>
    <t>Пестициди та інші агрохімічні продукти</t>
  </si>
  <si>
    <t>20.20.1</t>
  </si>
  <si>
    <t>Речовини поверхнево-активні органічні, крім мила</t>
  </si>
  <si>
    <t>20.41.2</t>
  </si>
  <si>
    <t>Желатин і його похідні, зокрема молочні альбуміни</t>
  </si>
  <si>
    <t>20.59.6</t>
  </si>
  <si>
    <t>+1301,98</t>
  </si>
  <si>
    <t>+2608,41</t>
  </si>
  <si>
    <t>+10,00</t>
  </si>
  <si>
    <t>в т.ч. 6456,70 натуральні надходження</t>
  </si>
  <si>
    <t>+2651,30</t>
  </si>
  <si>
    <t>+4045,35</t>
  </si>
  <si>
    <t>18981,37</t>
  </si>
  <si>
    <t>в т.ч. 67902,42 натуральні надходження</t>
  </si>
  <si>
    <t>Тканини проґумовані (крім кордів до шин)</t>
  </si>
  <si>
    <t>22.19.5</t>
  </si>
  <si>
    <t>Тара пластмасова</t>
  </si>
  <si>
    <t xml:space="preserve"> 22.22.1</t>
  </si>
  <si>
    <t>Прилади для контролювання інших фізичних характеристик</t>
  </si>
  <si>
    <t>26.51.5</t>
  </si>
  <si>
    <t>Інструменти та прилади терапевтичні; приладдя, протези та ортопедичні пристрої</t>
  </si>
  <si>
    <t>32.50.2</t>
  </si>
  <si>
    <t>-4174,60</t>
  </si>
  <si>
    <t>Молоко великої рогатої худоби молочних порід, сире</t>
  </si>
  <si>
    <t>01.41.2</t>
  </si>
  <si>
    <t>+4174,60</t>
  </si>
  <si>
    <t>Соки фруктові та овочеві</t>
  </si>
  <si>
    <t>10.32.1</t>
  </si>
  <si>
    <t>Олії сирі</t>
  </si>
  <si>
    <t>10.41.2</t>
  </si>
  <si>
    <t>Масло вершкове та молочні пасти</t>
  </si>
  <si>
    <t>10.51.3</t>
  </si>
  <si>
    <t>Крохмалі і крохмалепродукти; цукор і цукрові сиропи, н. в. і. у.</t>
  </si>
  <si>
    <t>10.62.1</t>
  </si>
  <si>
    <t>Макарони, локшина, кускус і подібні борошняні вироби</t>
  </si>
  <si>
    <t>10.73.1</t>
  </si>
  <si>
    <t>10.84.30</t>
  </si>
  <si>
    <t>Продукти харчові готові гомогенізовані для дитячого та дієтичного харчування( для дітей-сиріт)</t>
  </si>
  <si>
    <t>10.86.1</t>
  </si>
  <si>
    <t xml:space="preserve">в т.ч.74054,25 натуральні надходження </t>
  </si>
  <si>
    <t>Послуги, пов'язані з лісівництвом</t>
  </si>
  <si>
    <t>02.40.1</t>
  </si>
  <si>
    <t>Ремонтування та технічне обслуговування іншого електричного устатковання</t>
  </si>
  <si>
    <t>33.14.1</t>
  </si>
  <si>
    <t>Утилізування відсортованих матеріальних ресурсів</t>
  </si>
  <si>
    <t>38.32.1</t>
  </si>
  <si>
    <t>Монтаж водопровідних, каналізаційних, систем опалювання, вентиляції та кондиціювання повітря</t>
  </si>
  <si>
    <t>43.22.1</t>
  </si>
  <si>
    <t>Послуги поштові у межах зобов'язання щодо надання універсальних послуг</t>
  </si>
  <si>
    <t>53.10.1</t>
  </si>
  <si>
    <t>Послуги щодо консультування стосовно апаратного забезпечення</t>
  </si>
  <si>
    <t>62.02.1</t>
  </si>
  <si>
    <t>Послуги інженерні (Послуги інженерні щодо проектів водопостачання, каналізації та дренування)</t>
  </si>
  <si>
    <t>71.12.1</t>
  </si>
  <si>
    <t>з ПДВ</t>
  </si>
  <si>
    <t>+12100,00</t>
  </si>
  <si>
    <t>-12100,00</t>
  </si>
  <si>
    <t>Послуги у сфері охорони здоров'я, інші</t>
  </si>
  <si>
    <t>86.90.1</t>
  </si>
  <si>
    <t>+5020,74</t>
  </si>
  <si>
    <t>+9848,48</t>
  </si>
  <si>
    <t>Послуги індивідуальні інші, н. в. і. у.</t>
  </si>
  <si>
    <t>96.09.1</t>
  </si>
  <si>
    <t>Збирання небезпечних відходів</t>
  </si>
  <si>
    <t>38.12.1</t>
  </si>
  <si>
    <t>Обробляння та розподіляння води трубопроводами</t>
  </si>
  <si>
    <t>36.00.2</t>
  </si>
  <si>
    <t>Послуги каналізаційні</t>
  </si>
  <si>
    <t>Послуги освітянські, інші, н. в. і. у.</t>
  </si>
  <si>
    <t>85.59.1</t>
  </si>
  <si>
    <t>Послуги адміністративні щодо регулювання діяльності у сфері охорони здоров'я, освіти, культури та інші соціальні послуги, крім обов'язкового соціального страхування</t>
  </si>
  <si>
    <t>84.12.1</t>
  </si>
  <si>
    <t>Разом по КЕКВ  2800</t>
  </si>
  <si>
    <t>Інструменти та прилади вимірювальні, контрольні та випробовувальні, інші</t>
  </si>
  <si>
    <t>+22000,00</t>
  </si>
  <si>
    <t>Книжки друковані (натуральні надходження)</t>
  </si>
  <si>
    <t>58.11.1</t>
  </si>
  <si>
    <t>+198,00</t>
  </si>
  <si>
    <t>НАУКА</t>
  </si>
  <si>
    <t>Книжки, брошури, рекламні проспекти та подібні матеріали, друковані, інші</t>
  </si>
  <si>
    <t>Послуги адміністративні щодо регулювання діяльності у сфері охорони здоров'я, освіти, культури та інші соціальні послуги, крім обов'язкового соціального страхування</t>
  </si>
  <si>
    <t>Разом по 2240</t>
  </si>
  <si>
    <t> Послуги щодо друкування, інші</t>
  </si>
  <si>
    <t>18.12.1</t>
  </si>
  <si>
    <t xml:space="preserve"> 63.99.1</t>
  </si>
  <si>
    <t>Затверджений рішенням комітету з конкурсних торгів від  29.12.2014 р. №41</t>
  </si>
  <si>
    <t>Секретар комітету з конкурсних торгів</t>
  </si>
  <si>
    <t>О.І.Чернуха</t>
  </si>
  <si>
    <t xml:space="preserve">Додаток до річного плану державних закупівель на 2015 рік  зі змінами                                                                                                                                                                      станом на 10.02.2015   </t>
  </si>
  <si>
    <t>Продукти хімічні різноманітні(тест-смужки уріни)</t>
  </si>
  <si>
    <t>Препарати фармацевтичні, інші ( VEGF-ІФА,(Вектор Бест-лаб.імун)</t>
  </si>
  <si>
    <t xml:space="preserve">в т.ч.                   66 004,50
 натуральні надходження </t>
  </si>
  <si>
    <t>дез</t>
  </si>
  <si>
    <t>кисл</t>
  </si>
  <si>
    <t>спирт</t>
  </si>
  <si>
    <t>фото</t>
  </si>
  <si>
    <t>анализатор</t>
  </si>
  <si>
    <t>10000,00 (десять тисяч гривень 00 коп)</t>
  </si>
  <si>
    <t>35000,00 (тридцять п'ять тисяч гривень 00 коп)</t>
  </si>
  <si>
    <t>1329,00(одна тисяча триста двадцять дев'ять  грн.00 коп)</t>
  </si>
  <si>
    <t>7000,00 (сім тисяч гривень 00 коп)</t>
  </si>
  <si>
    <t>102,00 (сто дві гривні 00 коп)</t>
  </si>
  <si>
    <t>500,00                  ( п'ятсот гривень 00 коп)</t>
  </si>
  <si>
    <r>
      <t>705,00 (сімсот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ять гривень 00 коп)</t>
    </r>
  </si>
  <si>
    <t>2000,00 (дві тисячі гривень 00 коп)</t>
  </si>
  <si>
    <t>8000,00 (вісім тисяч гривень 00 коп)</t>
  </si>
  <si>
    <t>671,00 (шістсот сімдесят одна гривня 00 коп)</t>
  </si>
  <si>
    <t>1000,00 (одна тисяча гривень 00 коп)</t>
  </si>
  <si>
    <t>1346,00 (одна тисяча триста сорок шість гривень 00 коп)</t>
  </si>
  <si>
    <t xml:space="preserve"> +1000,00 спеціальний фонд</t>
  </si>
  <si>
    <t>2300,00 (дві тисячі триста гривень 00 коп )</t>
  </si>
  <si>
    <t xml:space="preserve"> +2000,00 спеціальний фонд</t>
  </si>
  <si>
    <r>
      <t>5000,00 (п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ять тисяч гривень 00 коп)</t>
    </r>
  </si>
  <si>
    <r>
      <t>1500,00 (одна тисяча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ятсот гривень 00 коп)</t>
    </r>
  </si>
  <si>
    <t xml:space="preserve"> +5000,00 спеціальний фонд</t>
  </si>
  <si>
    <t xml:space="preserve"> +1500,00 спеціальний фонд</t>
  </si>
  <si>
    <t xml:space="preserve"> +3500,00 спеціальний фонд</t>
  </si>
  <si>
    <t xml:space="preserve"> +31500,00 спеціальний фонд</t>
  </si>
  <si>
    <t xml:space="preserve"> +150,00 спеціальний фонд</t>
  </si>
  <si>
    <r>
      <t>150,00 (сто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ятдесят гривень 00 коп)</t>
    </r>
  </si>
  <si>
    <t>10,00 (десять гривень 00 коп)</t>
  </si>
  <si>
    <t xml:space="preserve"> +10,00 спеціальний фонд</t>
  </si>
  <si>
    <t>23.42.1</t>
  </si>
  <si>
    <t>Вироби санітарно-технічні керамічні</t>
  </si>
  <si>
    <r>
      <t>1565,0 (одна тисяча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ятсот  шістдесят пять гривень 00 коп)</t>
    </r>
  </si>
  <si>
    <t xml:space="preserve"> +1565,00 спеціальний фонд</t>
  </si>
  <si>
    <t xml:space="preserve"> +2500,00 спеціальний фонд, +5000,00 загальний фонд</t>
  </si>
  <si>
    <t>28.25.1</t>
  </si>
  <si>
    <t>Теплообмінники; установки для кондиціювання повітря непобутові, непобутове холодильне та морозильне устатковання</t>
  </si>
  <si>
    <t xml:space="preserve"> +304,00 спеціальний фонд</t>
  </si>
  <si>
    <t xml:space="preserve"> 304,00 (триста чотири гривні 00 кол)</t>
  </si>
  <si>
    <t>68,00 (шістдесят вісім гривень 00 коп)</t>
  </si>
  <si>
    <t xml:space="preserve"> +68,00 спеціальний фонд</t>
  </si>
  <si>
    <t>5000,00 (дві тисячі гривень 00 коп)</t>
  </si>
  <si>
    <t xml:space="preserve"> +2000,00 спеціальний фонд , 3000,00 загальний фонд</t>
  </si>
  <si>
    <t xml:space="preserve"> +6000,00 спеціальний фонд, +4000,00 загальний фонд</t>
  </si>
  <si>
    <t>10000,00                                       ( десять  тисяч гривень 00 коп)</t>
  </si>
  <si>
    <t xml:space="preserve"> +8000,00 спеціальний фонд</t>
  </si>
  <si>
    <r>
      <t>36435,00 ( тридцять шість тисяч чотириста тридцять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ять гривень 00 коп)</t>
    </r>
  </si>
  <si>
    <r>
      <t>2500,00 (дві тисячі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ятсот  гривень 00 коп)</t>
    </r>
  </si>
  <si>
    <t>870,00 (вісімсот сімдесят гривень 00 коп)</t>
  </si>
  <si>
    <r>
      <t>90000,00 (дев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яносто  тисяч гривень 00 коп)</t>
    </r>
  </si>
  <si>
    <r>
      <t>10500,00 (десять тисяч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ятсот гривень 00 коп)</t>
    </r>
  </si>
  <si>
    <t>300,00 (триста гривень 00 коп)</t>
  </si>
  <si>
    <t>70000,00 (сімдесят тисяч гривень 00 коп)</t>
  </si>
  <si>
    <t>30000,00 (тридцять тисяч гривень 00 коп)</t>
  </si>
  <si>
    <r>
      <t>15000,00              (п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ятнадцять тисяч гривень 00 коп)</t>
    </r>
  </si>
  <si>
    <r>
      <t>50000,00              (п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ятдесят тисяч гривень 00 коп)</t>
    </r>
  </si>
  <si>
    <t>100,00 (Сто гривень 00 коп)</t>
  </si>
  <si>
    <t>700,00 (сімсот гривень 00 коп)</t>
  </si>
  <si>
    <r>
      <t>11350,00 (одинадцять тисяч триста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ятдесят гривень 00 коп)</t>
    </r>
  </si>
  <si>
    <r>
      <t>35238,16 (тридцять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ять тисяч двісті тридцять вісім гривень 16 коп)</t>
    </r>
  </si>
  <si>
    <t>80000,00 (вісімдесят тисяч гривень 00 коп)</t>
  </si>
  <si>
    <t>15000,00 (п'ятнадцять тисяч гривень 00 коп)</t>
  </si>
  <si>
    <t>3200,00 (три тисячі двісті гривень 00 коп)</t>
  </si>
  <si>
    <r>
      <t>45000,00 (сорок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ять тисяч гривень 00 коп)</t>
    </r>
  </si>
  <si>
    <t>60000,00 (шістдесят тисяч гривень 00 коп)</t>
  </si>
  <si>
    <t>40000,00 (сорок тисяч гривень 00 коп)</t>
  </si>
  <si>
    <r>
      <t>5392,00 (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ять тисяч триста дев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яносто дві гривні  00 коп)</t>
    </r>
  </si>
  <si>
    <t>70874,84 (сімдесят тисяч вісімсот сімдесят чотири гривні 84 коп)</t>
  </si>
  <si>
    <t>3740,00 (три тисячі сімсот сорок гривень 00 коп)</t>
  </si>
  <si>
    <r>
      <t>50000,00 (п'</t>
    </r>
    <r>
      <rPr>
        <sz val="12"/>
        <rFont val="Calibri"/>
        <family val="2"/>
        <charset val="204"/>
      </rPr>
      <t>я</t>
    </r>
    <r>
      <rPr>
        <sz val="12"/>
        <rFont val="Times New Roman"/>
        <family val="1"/>
        <charset val="204"/>
      </rPr>
      <t>тдесят тисяч гривень 00 коп)</t>
    </r>
  </si>
  <si>
    <r>
      <t>805000,00    (вісімсот п</t>
    </r>
    <r>
      <rPr>
        <b/>
        <sz val="12"/>
        <rFont val="Calibri"/>
        <family val="2"/>
        <charset val="204"/>
      </rPr>
      <t>'</t>
    </r>
    <r>
      <rPr>
        <b/>
        <sz val="12"/>
        <rFont val="Times New Roman"/>
        <family val="1"/>
        <charset val="204"/>
      </rPr>
      <t>ять тисяч гривень 00 коп)</t>
    </r>
  </si>
  <si>
    <r>
      <t>у т.ч зальний фонд 805000,00    (вісімсот п</t>
    </r>
    <r>
      <rPr>
        <b/>
        <sz val="12"/>
        <rFont val="Calibri"/>
        <family val="2"/>
        <charset val="204"/>
      </rPr>
      <t>'</t>
    </r>
    <r>
      <rPr>
        <b/>
        <sz val="12"/>
        <rFont val="Times New Roman"/>
        <family val="1"/>
        <charset val="204"/>
      </rPr>
      <t>ять тисяч гривень 00 коп)</t>
    </r>
  </si>
  <si>
    <r>
      <t>25016,40 (двадцять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ять тисяч шістнадцять гривень 40 коп)</t>
    </r>
  </si>
  <si>
    <r>
      <t>39773,18 (тридцять дев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ять тисяч сімсот сімдесят три гривні 18 коп)</t>
    </r>
  </si>
  <si>
    <r>
      <t>56250,00 (п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ятдесят шість тисяч двісті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ятдесят гривень 00 коп)</t>
    </r>
  </si>
  <si>
    <r>
      <t>19892,84 (дев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ятнадцять тисяч вісімсот дев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яносто дві гривні 84 коп)</t>
    </r>
  </si>
  <si>
    <t>20000,00 (двадцять тисяч гривень 00 коп)</t>
  </si>
  <si>
    <t>4000,00 (чотири тисячі гривні 00 коп)</t>
  </si>
  <si>
    <t>1300,00 (одна тисяча триста гривень 00 коп)</t>
  </si>
  <si>
    <t>14400,00 (чотирнадцять тисяч чотириста гривень 00 коп)</t>
  </si>
  <si>
    <t>750,00 (сімсот пятдесят гривень 00 коп)</t>
  </si>
  <si>
    <r>
      <t>2520,00 (п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ять тисяч двісті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ятдесят гривень 00 коп)</t>
    </r>
  </si>
  <si>
    <r>
      <t>3552,00 (три тисячі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ятсот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ятдесят дві гривні 00 коп)</t>
    </r>
  </si>
  <si>
    <r>
      <t>750,00 (сімсот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ятдесят дві гривні 00 коп)</t>
    </r>
  </si>
  <si>
    <t>400,00 (чотириста гривень 00 коп)</t>
  </si>
  <si>
    <t>1400,00 (одна тисяча чотириста гривень 00 коп)</t>
  </si>
  <si>
    <r>
      <t>99000,00 (дев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яносто дев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ять тисячгривень 00 коп)</t>
    </r>
  </si>
  <si>
    <r>
      <t>500,00 (п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ятсот гривень 00 коп)</t>
    </r>
  </si>
  <si>
    <r>
      <t>11565,60 (одинадцять тисяч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ятсот шістдесят п</t>
    </r>
    <r>
      <rPr>
        <sz val="12"/>
        <rFont val="Calibri"/>
        <family val="2"/>
        <charset val="204"/>
      </rPr>
      <t>'</t>
    </r>
    <r>
      <rPr>
        <sz val="12"/>
        <rFont val="Times New Roman"/>
        <family val="1"/>
        <charset val="204"/>
      </rPr>
      <t>ять гривень 00 коп)</t>
    </r>
  </si>
  <si>
    <t>2400,00 (дві тисячі чотириста гривень 00 коп)</t>
  </si>
  <si>
    <t>75000,00 (сімдесят пять тисяч гривень 00 коп)</t>
  </si>
  <si>
    <t>46112,00           (сорок шість тисяч сто дванадцять гривень 00 коп)</t>
  </si>
  <si>
    <t>91481,78 (дев'яносто одна тисяча чотириста вісімдесят одна гривня 78 коп.)</t>
  </si>
  <si>
    <t>72070,00  (сімдесят дві тисячі сімдесят гривень 00коп)</t>
  </si>
  <si>
    <t>10512,32 (десять тисяч п'ятсот дванадцять гривень 32 коп)</t>
  </si>
  <si>
    <t>1360,00      (одна тисяча триста шістдесят гривень 00 коп)</t>
  </si>
  <si>
    <t>35678,40 (тридцять п'ять тисяч шістсот сімдесят вісім гривень  40 коп)</t>
  </si>
  <si>
    <t>20340,00 (двадцять тисяч триста сорок гривень 00 коп)</t>
  </si>
  <si>
    <t>16960,00 (шістнадцять тисяч дев'ятсот шістдесят гривень 00 коп)</t>
  </si>
  <si>
    <t>7800,00      (сім тисяч вісімсот гривень 00 коп)</t>
  </si>
  <si>
    <t>48330,00 (сорок вісім тисяч триста тридцять гривень 00 коп)</t>
  </si>
  <si>
    <t>1800,00     (одна тисяча вісімсот гривень 00 коп)</t>
  </si>
  <si>
    <t>19110,00  (дев'ятнадцять тисяч сто десять гривень 00 коп)</t>
  </si>
  <si>
    <t>1586,00     (одна тисяча п'ятсот вісімдесят шість гривень 00 коп)</t>
  </si>
  <si>
    <t>1517,12    (одна тисяча п'ятсот сімнадцять гривень 12 коп)</t>
  </si>
  <si>
    <t>150,00        (сто п'ятдесят гривень 00 коп)</t>
  </si>
  <si>
    <t>1737,50        (одна тисяча сімсот тридцять сім гривень 50 коп)</t>
  </si>
  <si>
    <t>66004,50 (шістдесят шість тисяч чотири гривні 50 коп)</t>
  </si>
  <si>
    <t>209,00     (двісті дев'ять гривень 00 коп)</t>
  </si>
  <si>
    <t>2356,00      (дві тисячі триста п'ятдесят шість гривень 00 коп)</t>
  </si>
  <si>
    <t xml:space="preserve"> +500,00 загальний фонд</t>
  </si>
  <si>
    <t xml:space="preserve"> +788,57загальний фонд</t>
  </si>
  <si>
    <t xml:space="preserve"> +36435,00 загальний фонд</t>
  </si>
  <si>
    <t xml:space="preserve"> +2500,00 загальний фонд</t>
  </si>
  <si>
    <t xml:space="preserve"> +870,00 загальний фонд</t>
  </si>
  <si>
    <t xml:space="preserve"> +76200,00 загальний фонд</t>
  </si>
  <si>
    <t xml:space="preserve"> +10400,00 загальний фонд</t>
  </si>
  <si>
    <t xml:space="preserve"> +300,00 загальний фонд</t>
  </si>
  <si>
    <t xml:space="preserve"> +45211,43загальний фонд</t>
  </si>
  <si>
    <t xml:space="preserve"> +30000,00 загальний фонд</t>
  </si>
  <si>
    <t xml:space="preserve"> +15000,00 загальний фонд</t>
  </si>
  <si>
    <t xml:space="preserve"> +40000,00 загальний фонд</t>
  </si>
  <si>
    <t xml:space="preserve"> +100,00 загальний фонд</t>
  </si>
  <si>
    <t xml:space="preserve"> +700,00 загальний фонд</t>
  </si>
  <si>
    <t xml:space="preserve"> +11350,00 загальний фонд</t>
  </si>
  <si>
    <t xml:space="preserve"> +35238,16 загальний фонд</t>
  </si>
  <si>
    <t xml:space="preserve"> +6000,00 загальний фонд</t>
  </si>
  <si>
    <t xml:space="preserve"> +70000,00 загальний фонд</t>
  </si>
  <si>
    <t xml:space="preserve"> +1000,00 загальний фонд</t>
  </si>
  <si>
    <t xml:space="preserve"> +5000,00 загальний фонд</t>
  </si>
  <si>
    <t xml:space="preserve"> +13500,00 загальний фонд</t>
  </si>
  <si>
    <t xml:space="preserve"> +3100,00 загальний фонд</t>
  </si>
  <si>
    <t xml:space="preserve"> +20000,00 загальний фонд</t>
  </si>
  <si>
    <t xml:space="preserve"> +55000,00 загальний фонд</t>
  </si>
  <si>
    <t xml:space="preserve"> +25000,00 загальний фонд</t>
  </si>
  <si>
    <t xml:space="preserve"> +5392,00 загальний фонд</t>
  </si>
  <si>
    <t xml:space="preserve"> +70874,84 загальний фонд</t>
  </si>
  <si>
    <t xml:space="preserve"> +9000,00 загальний фонд</t>
  </si>
  <si>
    <t xml:space="preserve"> +3740,00 загальний фонд</t>
  </si>
  <si>
    <t xml:space="preserve"> +35000,00 загальний фонд</t>
  </si>
  <si>
    <t xml:space="preserve"> +19816,40 загальний фонд</t>
  </si>
  <si>
    <t xml:space="preserve"> +25419,20 загальний фонд</t>
  </si>
  <si>
    <t>42000,00 (сорок дві тисячі гривень 00 коп)</t>
  </si>
  <si>
    <t>32000,00 (тридцять дві  тисячі гривень 00 коп)</t>
  </si>
  <si>
    <t xml:space="preserve"> +61900,00 загальний фонд</t>
  </si>
  <si>
    <t xml:space="preserve"> +22600,00 спеціальний фонд</t>
  </si>
  <si>
    <t>3000,00 (три тисячі гривень 00 коп)</t>
  </si>
  <si>
    <t xml:space="preserve"> +1700,00 спеціальний фонд</t>
  </si>
  <si>
    <t>Затверджений рішенням комітету з конкурсних торгів від  11.02.2015 р. №3</t>
  </si>
  <si>
    <t xml:space="preserve"> +47250,00 загальний фонд</t>
  </si>
  <si>
    <t xml:space="preserve"> +28832,00 загальний фонд</t>
  </si>
  <si>
    <t xml:space="preserve"> +44031,78 загальний фонд</t>
  </si>
  <si>
    <t xml:space="preserve"> +44950,00 загальний фонд</t>
  </si>
  <si>
    <t xml:space="preserve"> +5105,70  загальний фонд</t>
  </si>
  <si>
    <t xml:space="preserve"> +460,00 загальний фонд</t>
  </si>
  <si>
    <t xml:space="preserve"> +22872,00 загальний фонд</t>
  </si>
  <si>
    <t xml:space="preserve"> +9450,00 загальний фонд</t>
  </si>
  <si>
    <t xml:space="preserve"> +10600,00 загальний фонд</t>
  </si>
  <si>
    <t xml:space="preserve"> +6500,00 загальний фонд</t>
  </si>
  <si>
    <t xml:space="preserve"> +37490,000 загальний фонд</t>
  </si>
  <si>
    <t xml:space="preserve"> +1800,00 загальний фонд</t>
  </si>
  <si>
    <t xml:space="preserve"> +15750,00 загальний фонд</t>
  </si>
  <si>
    <t xml:space="preserve"> +1464,00 загальний фонд</t>
  </si>
  <si>
    <t xml:space="preserve"> +277,12 загальний фонд</t>
  </si>
  <si>
    <t xml:space="preserve"> +50,00 загальний фонд</t>
  </si>
  <si>
    <t xml:space="preserve"> +1237,50 загальний фонд</t>
  </si>
  <si>
    <t xml:space="preserve"> +66004,50 спеціальний фонд</t>
  </si>
  <si>
    <t xml:space="preserve"> +190,00 загальний фонд</t>
  </si>
  <si>
    <t xml:space="preserve"> +1600,00 загальний фонд</t>
  </si>
  <si>
    <t>666004,50 (шістсот шістдесят шість тисяч чотири гривні 50 коп)</t>
  </si>
  <si>
    <t>у т.ч зальний фонд 600000,00;   66004,50 спеціальний фонд</t>
  </si>
  <si>
    <t xml:space="preserve"> +14467,52 спеціальний фонд</t>
  </si>
  <si>
    <t xml:space="preserve"> +1160,00 спеціальний фонд</t>
  </si>
  <si>
    <t xml:space="preserve"> +10000,00 спеціальний фонд</t>
  </si>
  <si>
    <t xml:space="preserve"> +14402,72 спеціальний фонд</t>
  </si>
  <si>
    <t xml:space="preserve"> +2520,00 спеціальний фонд</t>
  </si>
  <si>
    <t xml:space="preserve"> +2970,00 спеціальний фонд</t>
  </si>
  <si>
    <t xml:space="preserve"> +94000,00 спеціальний фонд</t>
  </si>
  <si>
    <t xml:space="preserve"> +8673,60 спеціальний фонд</t>
  </si>
  <si>
    <t xml:space="preserve"> -108,6 спеціальний фонд</t>
  </si>
  <si>
    <t xml:space="preserve"> +12964,00 спеціальний фонд</t>
  </si>
  <si>
    <r>
      <t>94050,00 (дев</t>
    </r>
    <r>
      <rPr>
        <b/>
        <sz val="12"/>
        <rFont val="Calibri"/>
        <family val="2"/>
        <charset val="204"/>
      </rPr>
      <t>'</t>
    </r>
    <r>
      <rPr>
        <b/>
        <sz val="12"/>
        <rFont val="Times New Roman"/>
        <family val="1"/>
        <charset val="204"/>
      </rPr>
      <t>яносто чотири тисячі п</t>
    </r>
    <r>
      <rPr>
        <b/>
        <sz val="12"/>
        <rFont val="Calibri"/>
        <family val="2"/>
        <charset val="204"/>
      </rPr>
      <t>'</t>
    </r>
    <r>
      <rPr>
        <b/>
        <sz val="12"/>
        <rFont val="Times New Roman"/>
        <family val="1"/>
        <charset val="204"/>
      </rPr>
      <t>ятдесят гривень 00 коп)</t>
    </r>
  </si>
  <si>
    <t>в тч .12000,00 загальний фонд, 82050,00 спеціальний фонд</t>
  </si>
  <si>
    <t>1500,00  ( одна тисяча п 'ятсот гривень 00 коп)</t>
  </si>
  <si>
    <t>99850,30 (дев'яносто дев'ять тисяч вісімсот п'ятдесят гривень 00 коп)</t>
  </si>
  <si>
    <t xml:space="preserve"> +79854,30 загальний фонд</t>
  </si>
  <si>
    <t xml:space="preserve"> </t>
  </si>
  <si>
    <t>6000,00 (шість тисяч гривень 00 коп)</t>
  </si>
  <si>
    <t>323930,44 (триста двадцять три тисячі девятсот тридцять гривень 44 коп)</t>
  </si>
  <si>
    <t xml:space="preserve"> +4720,00 спеціальний фонд; 5000,00 загальний фонд</t>
  </si>
  <si>
    <t xml:space="preserve"> +3500,00 спеціальний фонд; 3000,00 загальний фонд</t>
  </si>
  <si>
    <t xml:space="preserve"> +3400,00 спеціальний фонд; 10000,00 загальний фонд</t>
  </si>
  <si>
    <t xml:space="preserve"> +51161,00 спеціальний фонд; 2000,00 загальний фонд</t>
  </si>
  <si>
    <t>у т.ч 303930,44 спеціальний фонд; 20000 загальний фонд</t>
  </si>
  <si>
    <t xml:space="preserve">Додаток до річного плану державних закупівель на 2015 рік  зі змінами                                                                                                                                                                      </t>
  </si>
  <si>
    <t>66400,00 (шістдесят шість тисяч чотириста гривень 00 коп)</t>
  </si>
  <si>
    <t>22600,00 (двадцять дві тисячі шістсот гривень 00 коп)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</si>
</sst>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"/>
  </numFmts>
  <fonts count="1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sz val="13"/>
      <name val="Arial Cyr"/>
      <charset val="204"/>
    </font>
    <font>
      <sz val="11"/>
      <name val="Arial Cyr"/>
      <charset val="204"/>
    </font>
    <font>
      <b/>
      <sz val="11"/>
      <name val="Arial Cyr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Arial Cyr"/>
      <charset val="204"/>
    </font>
    <font>
      <u/>
      <sz val="10"/>
      <color theme="10"/>
      <name val="Arial Cyr"/>
      <charset val="204"/>
    </font>
    <font>
      <sz val="12"/>
      <color rgb="FFFF0000"/>
      <name val="Arial Cyr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41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/>
    <xf numFmtId="1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0" xfId="0" applyFont="1" applyFill="1"/>
    <xf numFmtId="0" fontId="6" fillId="2" borderId="5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2" fontId="4" fillId="2" borderId="5" xfId="0" applyNumberFormat="1" applyFont="1" applyFill="1" applyBorder="1"/>
    <xf numFmtId="0" fontId="6" fillId="2" borderId="6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/>
    <xf numFmtId="0" fontId="3" fillId="2" borderId="0" xfId="0" applyFont="1" applyFill="1"/>
    <xf numFmtId="2" fontId="6" fillId="2" borderId="4" xfId="0" applyNumberFormat="1" applyFont="1" applyFill="1" applyBorder="1" applyAlignment="1">
      <alignment horizontal="left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/>
    <xf numFmtId="2" fontId="2" fillId="2" borderId="5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Alignment="1">
      <alignment horizontal="left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1" fontId="6" fillId="2" borderId="5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left" vertical="center" wrapText="1"/>
    </xf>
    <xf numFmtId="2" fontId="9" fillId="2" borderId="5" xfId="0" applyNumberFormat="1" applyFont="1" applyFill="1" applyBorder="1"/>
    <xf numFmtId="0" fontId="10" fillId="2" borderId="6" xfId="0" applyFont="1" applyFill="1" applyBorder="1"/>
    <xf numFmtId="2" fontId="3" fillId="2" borderId="5" xfId="0" applyNumberFormat="1" applyFont="1" applyFill="1" applyBorder="1"/>
    <xf numFmtId="0" fontId="9" fillId="2" borderId="5" xfId="0" applyFont="1" applyFill="1" applyBorder="1"/>
    <xf numFmtId="0" fontId="11" fillId="2" borderId="6" xfId="0" applyFont="1" applyFill="1" applyBorder="1"/>
    <xf numFmtId="0" fontId="9" fillId="2" borderId="0" xfId="0" applyFont="1" applyFill="1"/>
    <xf numFmtId="2" fontId="7" fillId="2" borderId="5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/>
    <xf numFmtId="2" fontId="7" fillId="2" borderId="6" xfId="0" applyNumberFormat="1" applyFont="1" applyFill="1" applyBorder="1" applyAlignment="1">
      <alignment horizontal="left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2" fontId="2" fillId="2" borderId="7" xfId="0" applyNumberFormat="1" applyFont="1" applyFill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 wrapText="1"/>
    </xf>
    <xf numFmtId="2" fontId="7" fillId="2" borderId="8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/>
    <xf numFmtId="2" fontId="7" fillId="2" borderId="9" xfId="0" applyNumberFormat="1" applyFont="1" applyFill="1" applyBorder="1" applyAlignment="1">
      <alignment horizontal="left" vertical="center" wrapText="1"/>
    </xf>
    <xf numFmtId="2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0" fontId="12" fillId="2" borderId="0" xfId="0" applyFont="1" applyFill="1" applyBorder="1" applyAlignment="1">
      <alignment horizontal="center" wrapText="1"/>
    </xf>
    <xf numFmtId="2" fontId="12" fillId="2" borderId="0" xfId="0" applyNumberFormat="1" applyFont="1" applyFill="1" applyBorder="1" applyAlignment="1"/>
    <xf numFmtId="0" fontId="6" fillId="2" borderId="0" xfId="0" applyFont="1" applyFill="1" applyBorder="1" applyAlignment="1"/>
    <xf numFmtId="0" fontId="6" fillId="2" borderId="0" xfId="0" applyFont="1" applyFill="1" applyBorder="1"/>
    <xf numFmtId="49" fontId="13" fillId="2" borderId="0" xfId="0" applyNumberFormat="1" applyFont="1" applyFill="1" applyBorder="1"/>
    <xf numFmtId="2" fontId="6" fillId="2" borderId="0" xfId="0" applyNumberFormat="1" applyFont="1" applyFill="1" applyBorder="1"/>
    <xf numFmtId="0" fontId="12" fillId="2" borderId="0" xfId="0" applyFont="1" applyFill="1" applyBorder="1" applyAlignment="1"/>
    <xf numFmtId="0" fontId="6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center"/>
    </xf>
    <xf numFmtId="1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2" fontId="4" fillId="2" borderId="0" xfId="0" applyNumberFormat="1" applyFont="1" applyFill="1" applyBorder="1"/>
    <xf numFmtId="1" fontId="14" fillId="2" borderId="0" xfId="0" applyNumberFormat="1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2" fontId="6" fillId="3" borderId="5" xfId="0" applyNumberFormat="1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left" vertical="center" wrapText="1"/>
    </xf>
    <xf numFmtId="2" fontId="5" fillId="2" borderId="4" xfId="0" applyNumberFormat="1" applyFont="1" applyFill="1" applyBorder="1" applyAlignment="1">
      <alignment horizontal="left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2" fontId="16" fillId="2" borderId="5" xfId="0" applyNumberFormat="1" applyFont="1" applyFill="1" applyBorder="1"/>
    <xf numFmtId="2" fontId="6" fillId="2" borderId="6" xfId="0" applyNumberFormat="1" applyFont="1" applyFill="1" applyBorder="1" applyAlignment="1">
      <alignment horizontal="left" vertical="center" wrapText="1"/>
    </xf>
    <xf numFmtId="2" fontId="4" fillId="2" borderId="0" xfId="0" applyNumberFormat="1" applyFont="1" applyFill="1"/>
    <xf numFmtId="0" fontId="14" fillId="2" borderId="0" xfId="0" applyFont="1" applyFill="1"/>
    <xf numFmtId="2" fontId="5" fillId="2" borderId="6" xfId="0" applyNumberFormat="1" applyFont="1" applyFill="1" applyBorder="1" applyAlignment="1">
      <alignment horizontal="center" vertical="center" wrapText="1"/>
    </xf>
    <xf numFmtId="1" fontId="6" fillId="2" borderId="0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1" fontId="6" fillId="2" borderId="6" xfId="0" applyNumberFormat="1" applyFont="1" applyFill="1" applyBorder="1" applyAlignment="1">
      <alignment horizontal="left" vertical="center" wrapText="1"/>
    </xf>
    <xf numFmtId="1" fontId="5" fillId="2" borderId="5" xfId="0" applyNumberFormat="1" applyFont="1" applyFill="1" applyBorder="1" applyAlignment="1">
      <alignment horizontal="left" vertical="center" wrapText="1"/>
    </xf>
    <xf numFmtId="2" fontId="5" fillId="2" borderId="5" xfId="0" applyNumberFormat="1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left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1" fontId="2" fillId="2" borderId="6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/>
    <xf numFmtId="1" fontId="4" fillId="2" borderId="5" xfId="0" applyNumberFormat="1" applyFont="1" applyFill="1" applyBorder="1"/>
    <xf numFmtId="0" fontId="14" fillId="2" borderId="4" xfId="1" applyFont="1" applyFill="1" applyBorder="1" applyAlignment="1" applyProtection="1">
      <alignment horizontal="left" vertical="center" wrapText="1"/>
    </xf>
    <xf numFmtId="0" fontId="14" fillId="2" borderId="5" xfId="1" applyFont="1" applyFill="1" applyBorder="1" applyAlignment="1" applyProtection="1">
      <alignment horizontal="left" vertical="center" wrapText="1"/>
    </xf>
    <xf numFmtId="1" fontId="5" fillId="2" borderId="7" xfId="0" applyNumberFormat="1" applyFont="1" applyFill="1" applyBorder="1" applyAlignment="1">
      <alignment horizontal="left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2" fontId="5" fillId="2" borderId="9" xfId="0" applyNumberFormat="1" applyFont="1" applyFill="1" applyBorder="1" applyAlignment="1">
      <alignment horizontal="center" vertical="center" wrapText="1"/>
    </xf>
    <xf numFmtId="164" fontId="5" fillId="2" borderId="6" xfId="0" applyNumberFormat="1" applyFont="1" applyFill="1" applyBorder="1" applyAlignment="1">
      <alignment horizontal="center" vertical="center" wrapText="1"/>
    </xf>
    <xf numFmtId="2" fontId="6" fillId="2" borderId="0" xfId="0" applyNumberFormat="1" applyFont="1" applyFill="1" applyBorder="1" applyAlignment="1">
      <alignment horizontal="left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1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>
      <alignment horizontal="center" vertical="center" wrapText="1"/>
    </xf>
    <xf numFmtId="2" fontId="7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/>
    <xf numFmtId="2" fontId="6" fillId="2" borderId="12" xfId="0" applyNumberFormat="1" applyFont="1" applyFill="1" applyBorder="1" applyAlignment="1">
      <alignment horizontal="center" vertical="center" wrapText="1"/>
    </xf>
    <xf numFmtId="1" fontId="5" fillId="2" borderId="10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left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14" fillId="2" borderId="7" xfId="1" applyFont="1" applyFill="1" applyBorder="1" applyAlignment="1" applyProtection="1">
      <alignment horizontal="left" vertical="center" wrapText="1"/>
    </xf>
    <xf numFmtId="0" fontId="14" fillId="2" borderId="8" xfId="1" applyFont="1" applyFill="1" applyBorder="1" applyAlignment="1" applyProtection="1">
      <alignment horizontal="left" vertical="center" wrapText="1"/>
    </xf>
    <xf numFmtId="0" fontId="4" fillId="2" borderId="8" xfId="0" applyFont="1" applyFill="1" applyBorder="1"/>
    <xf numFmtId="1" fontId="4" fillId="2" borderId="8" xfId="0" applyNumberFormat="1" applyFont="1" applyFill="1" applyBorder="1"/>
    <xf numFmtId="2" fontId="6" fillId="2" borderId="9" xfId="0" applyNumberFormat="1" applyFont="1" applyFill="1" applyBorder="1" applyAlignment="1">
      <alignment horizontal="center" vertical="center" wrapText="1"/>
    </xf>
    <xf numFmtId="1" fontId="6" fillId="2" borderId="6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/>
    <xf numFmtId="0" fontId="14" fillId="2" borderId="0" xfId="0" applyFont="1" applyFill="1" applyBorder="1"/>
    <xf numFmtId="2" fontId="6" fillId="2" borderId="0" xfId="0" applyNumberFormat="1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2" fontId="2" fillId="2" borderId="11" xfId="0" applyNumberFormat="1" applyFont="1" applyFill="1" applyBorder="1" applyAlignment="1">
      <alignment horizontal="center" vertical="center" wrapText="1"/>
    </xf>
    <xf numFmtId="2" fontId="2" fillId="2" borderId="1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wrapText="1"/>
    </xf>
  </cellXfs>
  <cellStyles count="3">
    <cellStyle name="Гиперссылка 2" xfId="1"/>
    <cellStyle name="Обычный" xfId="0" builtinId="0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kpp.rv.ua/index.php?level=10.86.1" TargetMode="External"/><Relationship Id="rId21" Type="http://schemas.openxmlformats.org/officeDocument/2006/relationships/hyperlink" Target="http://dkpp.rv.ua/index.php?level=62.01.11" TargetMode="External"/><Relationship Id="rId42" Type="http://schemas.openxmlformats.org/officeDocument/2006/relationships/hyperlink" Target="http://dkpp.rv.ua/index.php?level=96.09.1" TargetMode="External"/><Relationship Id="rId47" Type="http://schemas.openxmlformats.org/officeDocument/2006/relationships/hyperlink" Target="http://dkpp.rv.ua/index.php?level=31.03.1" TargetMode="External"/><Relationship Id="rId63" Type="http://schemas.openxmlformats.org/officeDocument/2006/relationships/hyperlink" Target="http://dkpp.rv.ua/index.php?level=28.14.1" TargetMode="External"/><Relationship Id="rId68" Type="http://schemas.openxmlformats.org/officeDocument/2006/relationships/hyperlink" Target="http://dkpp.rv.ua/index.php?level=80.20.1" TargetMode="External"/><Relationship Id="rId84" Type="http://schemas.openxmlformats.org/officeDocument/2006/relationships/hyperlink" Target="http://dkpp.rv.ua/index.php?level=43.22.1" TargetMode="External"/><Relationship Id="rId89" Type="http://schemas.openxmlformats.org/officeDocument/2006/relationships/hyperlink" Target="http://dkpp.rv.ua/index.php?level=16.29.2" TargetMode="External"/><Relationship Id="rId112" Type="http://schemas.openxmlformats.org/officeDocument/2006/relationships/hyperlink" Target="http://dk16.dovidnyk.info/index.php?rozd=12291" TargetMode="External"/><Relationship Id="rId2" Type="http://schemas.openxmlformats.org/officeDocument/2006/relationships/hyperlink" Target="http://dk16.dovidnyk.info/index.php?rozd=16953" TargetMode="External"/><Relationship Id="rId16" Type="http://schemas.openxmlformats.org/officeDocument/2006/relationships/hyperlink" Target="http://dk16.dovidnyk.info/index.php?rozd=19660" TargetMode="External"/><Relationship Id="rId29" Type="http://schemas.openxmlformats.org/officeDocument/2006/relationships/hyperlink" Target="http://dk16.dovidnyk.info/index.php?rozd=19408" TargetMode="External"/><Relationship Id="rId107" Type="http://schemas.openxmlformats.org/officeDocument/2006/relationships/hyperlink" Target="http://dk16.dovidnyk.info/index.php?rozd=19868" TargetMode="External"/><Relationship Id="rId11" Type="http://schemas.openxmlformats.org/officeDocument/2006/relationships/hyperlink" Target="http://dk16.dovidnyk.info/index.php?rozd=20630" TargetMode="External"/><Relationship Id="rId24" Type="http://schemas.openxmlformats.org/officeDocument/2006/relationships/hyperlink" Target="http://dk16.dovidnyk.info/index.php?rozd=9872" TargetMode="External"/><Relationship Id="rId32" Type="http://schemas.openxmlformats.org/officeDocument/2006/relationships/hyperlink" Target="http://dkpp.rv.ua/index.php?level=20.59.6" TargetMode="External"/><Relationship Id="rId37" Type="http://schemas.openxmlformats.org/officeDocument/2006/relationships/hyperlink" Target="http://dkpp.rv.ua/index.php?level=33.13.1" TargetMode="External"/><Relationship Id="rId40" Type="http://schemas.openxmlformats.org/officeDocument/2006/relationships/hyperlink" Target="http://dk16.dovidnyk.info/index.php?rozd=14751" TargetMode="External"/><Relationship Id="rId45" Type="http://schemas.openxmlformats.org/officeDocument/2006/relationships/hyperlink" Target="http://dkpp.rv.ua/index.php?level=20.14.3" TargetMode="External"/><Relationship Id="rId53" Type="http://schemas.openxmlformats.org/officeDocument/2006/relationships/hyperlink" Target="http://dkpp.rv.ua/index.php?level=22.21.2" TargetMode="External"/><Relationship Id="rId58" Type="http://schemas.openxmlformats.org/officeDocument/2006/relationships/hyperlink" Target="http://dkpp.rv.ua/index.php?level=25.73.3" TargetMode="External"/><Relationship Id="rId66" Type="http://schemas.openxmlformats.org/officeDocument/2006/relationships/hyperlink" Target="http://dkpp.rv.ua/index.php?level=32.91.1" TargetMode="External"/><Relationship Id="rId74" Type="http://schemas.openxmlformats.org/officeDocument/2006/relationships/hyperlink" Target="http://dkpp.rv.ua/index.php?level=23.52.2" TargetMode="External"/><Relationship Id="rId79" Type="http://schemas.openxmlformats.org/officeDocument/2006/relationships/hyperlink" Target="http://dkpp.rv.ua/index.php?level=86.10.1" TargetMode="External"/><Relationship Id="rId87" Type="http://schemas.openxmlformats.org/officeDocument/2006/relationships/hyperlink" Target="http://dkpp.rv.ua/index.php?level=13.10.7" TargetMode="External"/><Relationship Id="rId102" Type="http://schemas.openxmlformats.org/officeDocument/2006/relationships/hyperlink" Target="http://dkpp.rv.ua/index.php?level=10.51.1" TargetMode="External"/><Relationship Id="rId110" Type="http://schemas.openxmlformats.org/officeDocument/2006/relationships/hyperlink" Target="http://dkpp.rv.ua/index.php?level=28.25.1" TargetMode="External"/><Relationship Id="rId5" Type="http://schemas.openxmlformats.org/officeDocument/2006/relationships/hyperlink" Target="http://dk16.dovidnyk.info/index.php?rozd=21156" TargetMode="External"/><Relationship Id="rId61" Type="http://schemas.openxmlformats.org/officeDocument/2006/relationships/hyperlink" Target="http://dkpp.rv.ua/index.php?level=25.73.2" TargetMode="External"/><Relationship Id="rId82" Type="http://schemas.openxmlformats.org/officeDocument/2006/relationships/hyperlink" Target="http://dk16.dovidnyk.info/index.php?rozd=10488" TargetMode="External"/><Relationship Id="rId90" Type="http://schemas.openxmlformats.org/officeDocument/2006/relationships/hyperlink" Target="http://dkpp.rv.ua/index.php?level=27.40.1" TargetMode="External"/><Relationship Id="rId95" Type="http://schemas.openxmlformats.org/officeDocument/2006/relationships/hyperlink" Target="http://dk16.dovidnyk.info/index.php?rozd=9694" TargetMode="External"/><Relationship Id="rId19" Type="http://schemas.openxmlformats.org/officeDocument/2006/relationships/hyperlink" Target="http://dk16.dovidnyk.info/index.php?rozd=16838" TargetMode="External"/><Relationship Id="rId14" Type="http://schemas.openxmlformats.org/officeDocument/2006/relationships/hyperlink" Target="http://dk16.dovidnyk.info/index.php?rozd=19647" TargetMode="External"/><Relationship Id="rId22" Type="http://schemas.openxmlformats.org/officeDocument/2006/relationships/hyperlink" Target="http://dk16.dovidnyk.info/index.php?rozd=20630" TargetMode="External"/><Relationship Id="rId27" Type="http://schemas.openxmlformats.org/officeDocument/2006/relationships/hyperlink" Target="http://dkpp.rv.ua/index.php?level=26.51.5" TargetMode="External"/><Relationship Id="rId30" Type="http://schemas.openxmlformats.org/officeDocument/2006/relationships/hyperlink" Target="http://dkpp.rv.ua/index.php?level=20.30.2" TargetMode="External"/><Relationship Id="rId35" Type="http://schemas.openxmlformats.org/officeDocument/2006/relationships/hyperlink" Target="http://dk16.dovidnyk.info/index.php?rozd=9694" TargetMode="External"/><Relationship Id="rId43" Type="http://schemas.openxmlformats.org/officeDocument/2006/relationships/hyperlink" Target="http://dkpp.rv.ua/index.php?search=22.23.1&amp;type=code" TargetMode="External"/><Relationship Id="rId48" Type="http://schemas.openxmlformats.org/officeDocument/2006/relationships/hyperlink" Target="http://dkpp.rv.ua/index.php?level=14.19.2" TargetMode="External"/><Relationship Id="rId56" Type="http://schemas.openxmlformats.org/officeDocument/2006/relationships/hyperlink" Target="http://dkpp.rv.ua/index.php?level=24.20.4" TargetMode="External"/><Relationship Id="rId64" Type="http://schemas.openxmlformats.org/officeDocument/2006/relationships/hyperlink" Target="http://dkpp.rv.ua/index.php?level=28.30.4" TargetMode="External"/><Relationship Id="rId69" Type="http://schemas.openxmlformats.org/officeDocument/2006/relationships/hyperlink" Target="http://dkpp.rv.ua/index.php?level=22.22.1" TargetMode="External"/><Relationship Id="rId77" Type="http://schemas.openxmlformats.org/officeDocument/2006/relationships/hyperlink" Target="http://dkpp.rv.ua/index.php?level=63.11.1" TargetMode="External"/><Relationship Id="rId100" Type="http://schemas.openxmlformats.org/officeDocument/2006/relationships/hyperlink" Target="http://dkpp.rv.ua/index.php?level=22.19.7" TargetMode="External"/><Relationship Id="rId105" Type="http://schemas.openxmlformats.org/officeDocument/2006/relationships/hyperlink" Target="http://dkpp.rv.ua/index.php?level=26.20.1" TargetMode="External"/><Relationship Id="rId113" Type="http://schemas.openxmlformats.org/officeDocument/2006/relationships/hyperlink" Target="http://dkpp.rv.ua/index.php?level=26.20.1" TargetMode="External"/><Relationship Id="rId8" Type="http://schemas.openxmlformats.org/officeDocument/2006/relationships/hyperlink" Target="http://dk16.dovidnyk.info/index.php?rozd=19859" TargetMode="External"/><Relationship Id="rId51" Type="http://schemas.openxmlformats.org/officeDocument/2006/relationships/hyperlink" Target="http://dkpp.rv.ua/index.php?level=17.12.1" TargetMode="External"/><Relationship Id="rId72" Type="http://schemas.openxmlformats.org/officeDocument/2006/relationships/hyperlink" Target="http://dkpp.rv.ua/index.php?level=32.99.1" TargetMode="External"/><Relationship Id="rId80" Type="http://schemas.openxmlformats.org/officeDocument/2006/relationships/hyperlink" Target="http://dk16.dovidnyk.info/index.php?rozd=14094" TargetMode="External"/><Relationship Id="rId85" Type="http://schemas.openxmlformats.org/officeDocument/2006/relationships/hyperlink" Target="http://dkpp.rv.ua/index.php?search=43.22.1&amp;type=code" TargetMode="External"/><Relationship Id="rId93" Type="http://schemas.openxmlformats.org/officeDocument/2006/relationships/hyperlink" Target="http://dkpp.rv.ua/index.php?level=25.94.1" TargetMode="External"/><Relationship Id="rId98" Type="http://schemas.openxmlformats.org/officeDocument/2006/relationships/hyperlink" Target="http://dkpp.rv.ua/index.php?level=37.00.1" TargetMode="External"/><Relationship Id="rId3" Type="http://schemas.openxmlformats.org/officeDocument/2006/relationships/hyperlink" Target="http://dk16.dovidnyk.info/index.php?rozd=9872" TargetMode="External"/><Relationship Id="rId12" Type="http://schemas.openxmlformats.org/officeDocument/2006/relationships/hyperlink" Target="http://dk16.dovidnyk.info/index.php?rozd=16953" TargetMode="External"/><Relationship Id="rId17" Type="http://schemas.openxmlformats.org/officeDocument/2006/relationships/hyperlink" Target="http://dk16.dovidnyk.info/index.php?rozd=19660" TargetMode="External"/><Relationship Id="rId25" Type="http://schemas.openxmlformats.org/officeDocument/2006/relationships/hyperlink" Target="http://dk16.dovidnyk.info/index.php?rozd=9694" TargetMode="External"/><Relationship Id="rId33" Type="http://schemas.openxmlformats.org/officeDocument/2006/relationships/hyperlink" Target="http://dkpp.rv.ua/index.php?level=22.29.2" TargetMode="External"/><Relationship Id="rId38" Type="http://schemas.openxmlformats.org/officeDocument/2006/relationships/hyperlink" Target="http://dkpp.rv.ua/index.php?level=22.29.2" TargetMode="External"/><Relationship Id="rId46" Type="http://schemas.openxmlformats.org/officeDocument/2006/relationships/hyperlink" Target="http://dkpp.rv.ua/index.php?level=38.11.2" TargetMode="External"/><Relationship Id="rId59" Type="http://schemas.openxmlformats.org/officeDocument/2006/relationships/hyperlink" Target="http://dkpp.rv.ua/index.php?level=25.73.2" TargetMode="External"/><Relationship Id="rId67" Type="http://schemas.openxmlformats.org/officeDocument/2006/relationships/hyperlink" Target="http://dk16.dovidnyk.info/index.php?rozd=20759" TargetMode="External"/><Relationship Id="rId103" Type="http://schemas.openxmlformats.org/officeDocument/2006/relationships/hyperlink" Target="http://dkpp.rv.ua/index.php?level=20.13.5" TargetMode="External"/><Relationship Id="rId108" Type="http://schemas.openxmlformats.org/officeDocument/2006/relationships/hyperlink" Target="http://dkpp.rv.ua/index.php?level=23.42.1" TargetMode="External"/><Relationship Id="rId20" Type="http://schemas.openxmlformats.org/officeDocument/2006/relationships/hyperlink" Target="http://dkpp.rv.ua/index.php?level=20.11.1" TargetMode="External"/><Relationship Id="rId41" Type="http://schemas.openxmlformats.org/officeDocument/2006/relationships/hyperlink" Target="http://dk16.dovidnyk.info/index.php?rozd=21201" TargetMode="External"/><Relationship Id="rId54" Type="http://schemas.openxmlformats.org/officeDocument/2006/relationships/hyperlink" Target="http://dkpp.rv.ua/index.php?level=23.20.1" TargetMode="External"/><Relationship Id="rId62" Type="http://schemas.openxmlformats.org/officeDocument/2006/relationships/hyperlink" Target="http://dkpp.rv.ua/index.php?level=27.40.1" TargetMode="External"/><Relationship Id="rId70" Type="http://schemas.openxmlformats.org/officeDocument/2006/relationships/hyperlink" Target="http://dkpp.rv.ua/index.php?level=20.52.1" TargetMode="External"/><Relationship Id="rId75" Type="http://schemas.openxmlformats.org/officeDocument/2006/relationships/hyperlink" Target="http://dkpp.rv.ua/index.php?level=25.71.1" TargetMode="External"/><Relationship Id="rId83" Type="http://schemas.openxmlformats.org/officeDocument/2006/relationships/hyperlink" Target="http://dkpp.rv.ua/index.php?level=32.50.1" TargetMode="External"/><Relationship Id="rId88" Type="http://schemas.openxmlformats.org/officeDocument/2006/relationships/hyperlink" Target="http://dkpp.rv.ua/index.php?level=13.20.3" TargetMode="External"/><Relationship Id="rId91" Type="http://schemas.openxmlformats.org/officeDocument/2006/relationships/hyperlink" Target="http://dkpp.rv.ua/index.php?level=29.31.2" TargetMode="External"/><Relationship Id="rId96" Type="http://schemas.openxmlformats.org/officeDocument/2006/relationships/hyperlink" Target="http://dk16.dovidnyk.info/index.php?rozd=484" TargetMode="External"/><Relationship Id="rId111" Type="http://schemas.openxmlformats.org/officeDocument/2006/relationships/hyperlink" Target="http://dkpp.rv.ua/index.php?level=32.50.1" TargetMode="External"/><Relationship Id="rId1" Type="http://schemas.openxmlformats.org/officeDocument/2006/relationships/hyperlink" Target="http://dk16.dovidnyk.info/index.php?rozd=16868" TargetMode="External"/><Relationship Id="rId6" Type="http://schemas.openxmlformats.org/officeDocument/2006/relationships/hyperlink" Target="http://dk16.dovidnyk.info/index.php?rozd=20759" TargetMode="External"/><Relationship Id="rId15" Type="http://schemas.openxmlformats.org/officeDocument/2006/relationships/hyperlink" Target="http://dk16.dovidnyk.info/index.php?rozd=19647" TargetMode="External"/><Relationship Id="rId23" Type="http://schemas.openxmlformats.org/officeDocument/2006/relationships/hyperlink" Target="http://dkpp.rv.ua/index.php?level=86.90.1" TargetMode="External"/><Relationship Id="rId28" Type="http://schemas.openxmlformats.org/officeDocument/2006/relationships/hyperlink" Target="http://dk16.dovidnyk.info/index.php?rozd=19408" TargetMode="External"/><Relationship Id="rId36" Type="http://schemas.openxmlformats.org/officeDocument/2006/relationships/hyperlink" Target="http://dkpp.rv.ua/index.php?level=38.32.1" TargetMode="External"/><Relationship Id="rId49" Type="http://schemas.openxmlformats.org/officeDocument/2006/relationships/hyperlink" Target="http://dkpp.rv.ua/index.php?level=17.12.7" TargetMode="External"/><Relationship Id="rId57" Type="http://schemas.openxmlformats.org/officeDocument/2006/relationships/hyperlink" Target="http://dkpp.rv.ua/index.php?level=25.72.1" TargetMode="External"/><Relationship Id="rId106" Type="http://schemas.openxmlformats.org/officeDocument/2006/relationships/hyperlink" Target="http://dkpp.rv.ua/index.php?level=63.99.1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://dk16.dovidnyk.info/index.php?rozd=16868" TargetMode="External"/><Relationship Id="rId31" Type="http://schemas.openxmlformats.org/officeDocument/2006/relationships/hyperlink" Target="http://dkpp.rv.ua/index.php?level=20.13.6" TargetMode="External"/><Relationship Id="rId44" Type="http://schemas.openxmlformats.org/officeDocument/2006/relationships/hyperlink" Target="http://dkpp.rv.ua/index.php?level=22.23.1" TargetMode="External"/><Relationship Id="rId52" Type="http://schemas.openxmlformats.org/officeDocument/2006/relationships/hyperlink" Target="http://dkpp.rv.ua/index.php?level=17.12.2" TargetMode="External"/><Relationship Id="rId60" Type="http://schemas.openxmlformats.org/officeDocument/2006/relationships/hyperlink" Target="http://dkpp.rv.ua/index.php?level=25.73.1" TargetMode="External"/><Relationship Id="rId65" Type="http://schemas.openxmlformats.org/officeDocument/2006/relationships/hyperlink" Target="http://dkpp.rv.ua/index.php?level=21.10.6" TargetMode="External"/><Relationship Id="rId73" Type="http://schemas.openxmlformats.org/officeDocument/2006/relationships/hyperlink" Target="http://dkpp.rv.ua/index.php?level=22.21.4" TargetMode="External"/><Relationship Id="rId78" Type="http://schemas.openxmlformats.org/officeDocument/2006/relationships/hyperlink" Target="http://dkpp.rv.ua/index.php?level=84.12.1" TargetMode="External"/><Relationship Id="rId81" Type="http://schemas.openxmlformats.org/officeDocument/2006/relationships/hyperlink" Target="http://dk16.dovidnyk.info/index.php?rozd=10488" TargetMode="External"/><Relationship Id="rId86" Type="http://schemas.openxmlformats.org/officeDocument/2006/relationships/hyperlink" Target="http://dk16.dovidnyk.info/index.php?rozd=14094" TargetMode="External"/><Relationship Id="rId94" Type="http://schemas.openxmlformats.org/officeDocument/2006/relationships/hyperlink" Target="http://dkpp.rv.ua/index.php?level=25.99.1" TargetMode="External"/><Relationship Id="rId99" Type="http://schemas.openxmlformats.org/officeDocument/2006/relationships/hyperlink" Target="http://dkpp.rv.ua/index.php?level=22.19.2" TargetMode="External"/><Relationship Id="rId101" Type="http://schemas.openxmlformats.org/officeDocument/2006/relationships/hyperlink" Target="http://dkpp.rv.ua/index.php?level=10.51.3" TargetMode="External"/><Relationship Id="rId4" Type="http://schemas.openxmlformats.org/officeDocument/2006/relationships/hyperlink" Target="http://dk16.dovidnyk.info/index.php?rozd=19731" TargetMode="External"/><Relationship Id="rId9" Type="http://schemas.openxmlformats.org/officeDocument/2006/relationships/hyperlink" Target="http://dk16.dovidnyk.info/index.php?rozd=19816" TargetMode="External"/><Relationship Id="rId13" Type="http://schemas.openxmlformats.org/officeDocument/2006/relationships/hyperlink" Target="http://dk16.dovidnyk.info/index.php?rozd=20211" TargetMode="External"/><Relationship Id="rId18" Type="http://schemas.openxmlformats.org/officeDocument/2006/relationships/hyperlink" Target="http://dk16.dovidnyk.info/index.php?rozd=16838" TargetMode="External"/><Relationship Id="rId39" Type="http://schemas.openxmlformats.org/officeDocument/2006/relationships/hyperlink" Target="http://dkpp.rv.ua/index.php?level=17.29.1" TargetMode="External"/><Relationship Id="rId109" Type="http://schemas.openxmlformats.org/officeDocument/2006/relationships/hyperlink" Target="http://dkpp.rv.ua/index.php?level=28.29.1" TargetMode="External"/><Relationship Id="rId34" Type="http://schemas.openxmlformats.org/officeDocument/2006/relationships/hyperlink" Target="http://dkpp.rv.ua/index.php?level=74.90.1" TargetMode="External"/><Relationship Id="rId50" Type="http://schemas.openxmlformats.org/officeDocument/2006/relationships/hyperlink" Target="http://dkpp.rv.ua/index.php?level=16.29.1" TargetMode="External"/><Relationship Id="rId55" Type="http://schemas.openxmlformats.org/officeDocument/2006/relationships/hyperlink" Target="http://dkpp.rv.ua/index.php?level=23.51.1" TargetMode="External"/><Relationship Id="rId76" Type="http://schemas.openxmlformats.org/officeDocument/2006/relationships/hyperlink" Target="http://dkpp.rv.ua/index.php?level=33.14.1" TargetMode="External"/><Relationship Id="rId97" Type="http://schemas.openxmlformats.org/officeDocument/2006/relationships/hyperlink" Target="http://dkpp.rv.ua/index.php?level=29.10.1" TargetMode="External"/><Relationship Id="rId104" Type="http://schemas.openxmlformats.org/officeDocument/2006/relationships/hyperlink" Target="http://dkpp.rv.ua/index.php?level=27.33.1" TargetMode="External"/><Relationship Id="rId7" Type="http://schemas.openxmlformats.org/officeDocument/2006/relationships/hyperlink" Target="http://dk16.dovidnyk.info/index.php?rozd=21201" TargetMode="External"/><Relationship Id="rId71" Type="http://schemas.openxmlformats.org/officeDocument/2006/relationships/hyperlink" Target="http://dkpp.rv.ua/index.php?level=26.11.3" TargetMode="External"/><Relationship Id="rId92" Type="http://schemas.openxmlformats.org/officeDocument/2006/relationships/hyperlink" Target="http://dkpp.rv.ua/index.php?level=17.22.1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://dkpp.rv.ua/index.php?level=10.86.1" TargetMode="External"/><Relationship Id="rId21" Type="http://schemas.openxmlformats.org/officeDocument/2006/relationships/hyperlink" Target="http://dkpp.rv.ua/index.php?level=62.01.11" TargetMode="External"/><Relationship Id="rId42" Type="http://schemas.openxmlformats.org/officeDocument/2006/relationships/hyperlink" Target="http://dkpp.rv.ua/index.php?level=17.29.1" TargetMode="External"/><Relationship Id="rId47" Type="http://schemas.openxmlformats.org/officeDocument/2006/relationships/hyperlink" Target="http://dkpp.rv.ua/index.php?search=22.23.1&amp;type=code" TargetMode="External"/><Relationship Id="rId63" Type="http://schemas.openxmlformats.org/officeDocument/2006/relationships/hyperlink" Target="http://dkpp.rv.ua/index.php?level=25.73.2" TargetMode="External"/><Relationship Id="rId68" Type="http://schemas.openxmlformats.org/officeDocument/2006/relationships/hyperlink" Target="http://dkpp.rv.ua/index.php?level=28.30.4" TargetMode="External"/><Relationship Id="rId84" Type="http://schemas.openxmlformats.org/officeDocument/2006/relationships/hyperlink" Target="http://dkpp.rv.ua/index.php?level=84.12.1" TargetMode="External"/><Relationship Id="rId89" Type="http://schemas.openxmlformats.org/officeDocument/2006/relationships/hyperlink" Target="http://dk16.dovidnyk.info/index.php?rozd=10488" TargetMode="External"/><Relationship Id="rId112" Type="http://schemas.openxmlformats.org/officeDocument/2006/relationships/hyperlink" Target="http://dkpp.rv.ua/index.php?level=26.20.1" TargetMode="External"/><Relationship Id="rId16" Type="http://schemas.openxmlformats.org/officeDocument/2006/relationships/hyperlink" Target="http://dk16.dovidnyk.info/index.php?rozd=19660" TargetMode="External"/><Relationship Id="rId107" Type="http://schemas.openxmlformats.org/officeDocument/2006/relationships/hyperlink" Target="http://dkpp.rv.ua/index.php?level=22.19.7" TargetMode="External"/><Relationship Id="rId11" Type="http://schemas.openxmlformats.org/officeDocument/2006/relationships/hyperlink" Target="http://dk16.dovidnyk.info/index.php?rozd=20630" TargetMode="External"/><Relationship Id="rId24" Type="http://schemas.openxmlformats.org/officeDocument/2006/relationships/hyperlink" Target="http://dk16.dovidnyk.info/index.php?rozd=9872" TargetMode="External"/><Relationship Id="rId32" Type="http://schemas.openxmlformats.org/officeDocument/2006/relationships/hyperlink" Target="http://dkpp.rv.ua/index.php?level=20.30.2" TargetMode="External"/><Relationship Id="rId37" Type="http://schemas.openxmlformats.org/officeDocument/2006/relationships/hyperlink" Target="http://dkpp.rv.ua/index.php?level=74.90.1" TargetMode="External"/><Relationship Id="rId40" Type="http://schemas.openxmlformats.org/officeDocument/2006/relationships/hyperlink" Target="http://dkpp.rv.ua/index.php?level=33.13.1" TargetMode="External"/><Relationship Id="rId45" Type="http://schemas.openxmlformats.org/officeDocument/2006/relationships/hyperlink" Target="http://dkpp.rv.ua/index.php?level=96.09.1" TargetMode="External"/><Relationship Id="rId53" Type="http://schemas.openxmlformats.org/officeDocument/2006/relationships/hyperlink" Target="http://dkpp.rv.ua/index.php?level=17.12.7" TargetMode="External"/><Relationship Id="rId58" Type="http://schemas.openxmlformats.org/officeDocument/2006/relationships/hyperlink" Target="http://dkpp.rv.ua/index.php?level=23.20.1" TargetMode="External"/><Relationship Id="rId66" Type="http://schemas.openxmlformats.org/officeDocument/2006/relationships/hyperlink" Target="http://dkpp.rv.ua/index.php?level=27.40.1" TargetMode="External"/><Relationship Id="rId74" Type="http://schemas.openxmlformats.org/officeDocument/2006/relationships/hyperlink" Target="http://dkpp.rv.ua/index.php?level=80.20.1" TargetMode="External"/><Relationship Id="rId79" Type="http://schemas.openxmlformats.org/officeDocument/2006/relationships/hyperlink" Target="http://dkpp.rv.ua/index.php?level=22.21.4" TargetMode="External"/><Relationship Id="rId87" Type="http://schemas.openxmlformats.org/officeDocument/2006/relationships/hyperlink" Target="http://dk16.dovidnyk.info/index.php?rozd=14094" TargetMode="External"/><Relationship Id="rId102" Type="http://schemas.openxmlformats.org/officeDocument/2006/relationships/hyperlink" Target="http://dk16.dovidnyk.info/index.php?rozd=9694" TargetMode="External"/><Relationship Id="rId110" Type="http://schemas.openxmlformats.org/officeDocument/2006/relationships/hyperlink" Target="http://dkpp.rv.ua/index.php?level=20.13.5" TargetMode="External"/><Relationship Id="rId115" Type="http://schemas.openxmlformats.org/officeDocument/2006/relationships/printerSettings" Target="../printerSettings/printerSettings2.bin"/><Relationship Id="rId5" Type="http://schemas.openxmlformats.org/officeDocument/2006/relationships/hyperlink" Target="http://dk16.dovidnyk.info/index.php?rozd=21156" TargetMode="External"/><Relationship Id="rId61" Type="http://schemas.openxmlformats.org/officeDocument/2006/relationships/hyperlink" Target="http://dkpp.rv.ua/index.php?level=25.72.1" TargetMode="External"/><Relationship Id="rId82" Type="http://schemas.openxmlformats.org/officeDocument/2006/relationships/hyperlink" Target="http://dkpp.rv.ua/index.php?level=33.14.1" TargetMode="External"/><Relationship Id="rId90" Type="http://schemas.openxmlformats.org/officeDocument/2006/relationships/hyperlink" Target="http://dkpp.rv.ua/index.php?level=32.50.1" TargetMode="External"/><Relationship Id="rId95" Type="http://schemas.openxmlformats.org/officeDocument/2006/relationships/hyperlink" Target="http://dkpp.rv.ua/index.php?level=13.20.3" TargetMode="External"/><Relationship Id="rId19" Type="http://schemas.openxmlformats.org/officeDocument/2006/relationships/hyperlink" Target="http://dk16.dovidnyk.info/index.php?rozd=16838" TargetMode="External"/><Relationship Id="rId14" Type="http://schemas.openxmlformats.org/officeDocument/2006/relationships/hyperlink" Target="http://dk16.dovidnyk.info/index.php?rozd=19647" TargetMode="External"/><Relationship Id="rId22" Type="http://schemas.openxmlformats.org/officeDocument/2006/relationships/hyperlink" Target="http://dk16.dovidnyk.info/index.php?rozd=20630" TargetMode="External"/><Relationship Id="rId27" Type="http://schemas.openxmlformats.org/officeDocument/2006/relationships/hyperlink" Target="http://dkpp.rv.ua/index.php?level=26.51.5" TargetMode="External"/><Relationship Id="rId30" Type="http://schemas.openxmlformats.org/officeDocument/2006/relationships/hyperlink" Target="http://dk16.dovidnyk.info/index.php?rozd=12291" TargetMode="External"/><Relationship Id="rId35" Type="http://schemas.openxmlformats.org/officeDocument/2006/relationships/hyperlink" Target="http://dkpp.rv.ua/index.php?level=20.59.6" TargetMode="External"/><Relationship Id="rId43" Type="http://schemas.openxmlformats.org/officeDocument/2006/relationships/hyperlink" Target="http://dk16.dovidnyk.info/index.php?rozd=14751" TargetMode="External"/><Relationship Id="rId48" Type="http://schemas.openxmlformats.org/officeDocument/2006/relationships/hyperlink" Target="http://dkpp.rv.ua/index.php?level=22.23.1" TargetMode="External"/><Relationship Id="rId56" Type="http://schemas.openxmlformats.org/officeDocument/2006/relationships/hyperlink" Target="http://dkpp.rv.ua/index.php?level=17.12.2" TargetMode="External"/><Relationship Id="rId64" Type="http://schemas.openxmlformats.org/officeDocument/2006/relationships/hyperlink" Target="http://dkpp.rv.ua/index.php?level=25.73.1" TargetMode="External"/><Relationship Id="rId69" Type="http://schemas.openxmlformats.org/officeDocument/2006/relationships/hyperlink" Target="http://dkpp.rv.ua/index.php?level=21.10.6" TargetMode="External"/><Relationship Id="rId77" Type="http://schemas.openxmlformats.org/officeDocument/2006/relationships/hyperlink" Target="http://dkpp.rv.ua/index.php?level=26.11.3" TargetMode="External"/><Relationship Id="rId100" Type="http://schemas.openxmlformats.org/officeDocument/2006/relationships/hyperlink" Target="http://dkpp.rv.ua/index.php?level=25.94.1" TargetMode="External"/><Relationship Id="rId105" Type="http://schemas.openxmlformats.org/officeDocument/2006/relationships/hyperlink" Target="http://dkpp.rv.ua/index.php?level=37.00.1" TargetMode="External"/><Relationship Id="rId113" Type="http://schemas.openxmlformats.org/officeDocument/2006/relationships/hyperlink" Target="http://dkpp.rv.ua/index.php?level=63.99.1" TargetMode="External"/><Relationship Id="rId8" Type="http://schemas.openxmlformats.org/officeDocument/2006/relationships/hyperlink" Target="http://dk16.dovidnyk.info/index.php?rozd=19859" TargetMode="External"/><Relationship Id="rId51" Type="http://schemas.openxmlformats.org/officeDocument/2006/relationships/hyperlink" Target="http://dkpp.rv.ua/index.php?level=31.03.1" TargetMode="External"/><Relationship Id="rId72" Type="http://schemas.openxmlformats.org/officeDocument/2006/relationships/hyperlink" Target="http://dkpp.rv.ua/index.php?level=32.91.1" TargetMode="External"/><Relationship Id="rId80" Type="http://schemas.openxmlformats.org/officeDocument/2006/relationships/hyperlink" Target="http://dkpp.rv.ua/index.php?level=23.52.2" TargetMode="External"/><Relationship Id="rId85" Type="http://schemas.openxmlformats.org/officeDocument/2006/relationships/hyperlink" Target="http://dkpp.rv.ua/index.php?level=26.20.1" TargetMode="External"/><Relationship Id="rId93" Type="http://schemas.openxmlformats.org/officeDocument/2006/relationships/hyperlink" Target="http://dk16.dovidnyk.info/index.php?rozd=14094" TargetMode="External"/><Relationship Id="rId98" Type="http://schemas.openxmlformats.org/officeDocument/2006/relationships/hyperlink" Target="http://dkpp.rv.ua/index.php?level=29.31.2" TargetMode="External"/><Relationship Id="rId3" Type="http://schemas.openxmlformats.org/officeDocument/2006/relationships/hyperlink" Target="http://dk16.dovidnyk.info/index.php?rozd=9872" TargetMode="External"/><Relationship Id="rId12" Type="http://schemas.openxmlformats.org/officeDocument/2006/relationships/hyperlink" Target="http://dk16.dovidnyk.info/index.php?rozd=16953" TargetMode="External"/><Relationship Id="rId17" Type="http://schemas.openxmlformats.org/officeDocument/2006/relationships/hyperlink" Target="http://dk16.dovidnyk.info/index.php?rozd=19660" TargetMode="External"/><Relationship Id="rId25" Type="http://schemas.openxmlformats.org/officeDocument/2006/relationships/hyperlink" Target="http://dk16.dovidnyk.info/index.php?rozd=9694" TargetMode="External"/><Relationship Id="rId33" Type="http://schemas.openxmlformats.org/officeDocument/2006/relationships/hyperlink" Target="http://dk16.dovidnyk.info/index.php?rozd=9524" TargetMode="External"/><Relationship Id="rId38" Type="http://schemas.openxmlformats.org/officeDocument/2006/relationships/hyperlink" Target="http://dk16.dovidnyk.info/index.php?rozd=9694" TargetMode="External"/><Relationship Id="rId46" Type="http://schemas.openxmlformats.org/officeDocument/2006/relationships/hyperlink" Target="http://dkpp.rv.ua/index.php?level=26.51.6" TargetMode="External"/><Relationship Id="rId59" Type="http://schemas.openxmlformats.org/officeDocument/2006/relationships/hyperlink" Target="http://dkpp.rv.ua/index.php?level=23.51.1" TargetMode="External"/><Relationship Id="rId67" Type="http://schemas.openxmlformats.org/officeDocument/2006/relationships/hyperlink" Target="http://dkpp.rv.ua/index.php?level=28.14.1" TargetMode="External"/><Relationship Id="rId103" Type="http://schemas.openxmlformats.org/officeDocument/2006/relationships/hyperlink" Target="http://dk16.dovidnyk.info/index.php?rozd=484" TargetMode="External"/><Relationship Id="rId108" Type="http://schemas.openxmlformats.org/officeDocument/2006/relationships/hyperlink" Target="http://dkpp.rv.ua/index.php?level=10.51.3" TargetMode="External"/><Relationship Id="rId20" Type="http://schemas.openxmlformats.org/officeDocument/2006/relationships/hyperlink" Target="http://dkpp.rv.ua/index.php?level=20.11.1" TargetMode="External"/><Relationship Id="rId41" Type="http://schemas.openxmlformats.org/officeDocument/2006/relationships/hyperlink" Target="http://dkpp.rv.ua/index.php?level=22.29.2" TargetMode="External"/><Relationship Id="rId54" Type="http://schemas.openxmlformats.org/officeDocument/2006/relationships/hyperlink" Target="http://dkpp.rv.ua/index.php?level=16.29.1" TargetMode="External"/><Relationship Id="rId62" Type="http://schemas.openxmlformats.org/officeDocument/2006/relationships/hyperlink" Target="http://dkpp.rv.ua/index.php?level=25.73.3" TargetMode="External"/><Relationship Id="rId70" Type="http://schemas.openxmlformats.org/officeDocument/2006/relationships/hyperlink" Target="http://dkpp.rv.ua/index.php?level=26.60.1" TargetMode="External"/><Relationship Id="rId75" Type="http://schemas.openxmlformats.org/officeDocument/2006/relationships/hyperlink" Target="http://dkpp.rv.ua/index.php?level=22.22.1" TargetMode="External"/><Relationship Id="rId83" Type="http://schemas.openxmlformats.org/officeDocument/2006/relationships/hyperlink" Target="http://dkpp.rv.ua/index.php?level=63.11.1" TargetMode="External"/><Relationship Id="rId88" Type="http://schemas.openxmlformats.org/officeDocument/2006/relationships/hyperlink" Target="http://dk16.dovidnyk.info/index.php?rozd=10488" TargetMode="External"/><Relationship Id="rId91" Type="http://schemas.openxmlformats.org/officeDocument/2006/relationships/hyperlink" Target="http://dkpp.rv.ua/index.php?level=43.22.1" TargetMode="External"/><Relationship Id="rId96" Type="http://schemas.openxmlformats.org/officeDocument/2006/relationships/hyperlink" Target="http://dkpp.rv.ua/index.php?level=16.29.2" TargetMode="External"/><Relationship Id="rId111" Type="http://schemas.openxmlformats.org/officeDocument/2006/relationships/hyperlink" Target="http://dkpp.rv.ua/index.php?level=27.33.1" TargetMode="External"/><Relationship Id="rId1" Type="http://schemas.openxmlformats.org/officeDocument/2006/relationships/hyperlink" Target="http://dk16.dovidnyk.info/index.php?rozd=16868" TargetMode="External"/><Relationship Id="rId6" Type="http://schemas.openxmlformats.org/officeDocument/2006/relationships/hyperlink" Target="http://dk16.dovidnyk.info/index.php?rozd=20759" TargetMode="External"/><Relationship Id="rId15" Type="http://schemas.openxmlformats.org/officeDocument/2006/relationships/hyperlink" Target="http://dk16.dovidnyk.info/index.php?rozd=19647" TargetMode="External"/><Relationship Id="rId23" Type="http://schemas.openxmlformats.org/officeDocument/2006/relationships/hyperlink" Target="http://dkpp.rv.ua/index.php?level=86.90.1" TargetMode="External"/><Relationship Id="rId28" Type="http://schemas.openxmlformats.org/officeDocument/2006/relationships/hyperlink" Target="http://dk16.dovidnyk.info/index.php?rozd=19408" TargetMode="External"/><Relationship Id="rId36" Type="http://schemas.openxmlformats.org/officeDocument/2006/relationships/hyperlink" Target="http://dkpp.rv.ua/index.php?level=22.29.2" TargetMode="External"/><Relationship Id="rId49" Type="http://schemas.openxmlformats.org/officeDocument/2006/relationships/hyperlink" Target="http://dkpp.rv.ua/index.php?level=20.14.3" TargetMode="External"/><Relationship Id="rId57" Type="http://schemas.openxmlformats.org/officeDocument/2006/relationships/hyperlink" Target="http://dkpp.rv.ua/index.php?level=22.21.2" TargetMode="External"/><Relationship Id="rId106" Type="http://schemas.openxmlformats.org/officeDocument/2006/relationships/hyperlink" Target="http://dkpp.rv.ua/index.php?level=22.19.2" TargetMode="External"/><Relationship Id="rId114" Type="http://schemas.openxmlformats.org/officeDocument/2006/relationships/hyperlink" Target="http://dk16.dovidnyk.info/index.php?rozd=19868" TargetMode="External"/><Relationship Id="rId10" Type="http://schemas.openxmlformats.org/officeDocument/2006/relationships/hyperlink" Target="http://dk16.dovidnyk.info/index.php?rozd=16868" TargetMode="External"/><Relationship Id="rId31" Type="http://schemas.openxmlformats.org/officeDocument/2006/relationships/hyperlink" Target="http://dkpp.rv.ua/index.php?level=32.50.1" TargetMode="External"/><Relationship Id="rId44" Type="http://schemas.openxmlformats.org/officeDocument/2006/relationships/hyperlink" Target="http://dk16.dovidnyk.info/index.php?rozd=21201" TargetMode="External"/><Relationship Id="rId52" Type="http://schemas.openxmlformats.org/officeDocument/2006/relationships/hyperlink" Target="http://dkpp.rv.ua/index.php?level=14.19.2" TargetMode="External"/><Relationship Id="rId60" Type="http://schemas.openxmlformats.org/officeDocument/2006/relationships/hyperlink" Target="http://dkpp.rv.ua/index.php?level=24.20.4" TargetMode="External"/><Relationship Id="rId65" Type="http://schemas.openxmlformats.org/officeDocument/2006/relationships/hyperlink" Target="http://dkpp.rv.ua/index.php?level=25.73.2" TargetMode="External"/><Relationship Id="rId73" Type="http://schemas.openxmlformats.org/officeDocument/2006/relationships/hyperlink" Target="http://dk16.dovidnyk.info/index.php?rozd=20759" TargetMode="External"/><Relationship Id="rId78" Type="http://schemas.openxmlformats.org/officeDocument/2006/relationships/hyperlink" Target="http://dkpp.rv.ua/index.php?level=32.99.1" TargetMode="External"/><Relationship Id="rId81" Type="http://schemas.openxmlformats.org/officeDocument/2006/relationships/hyperlink" Target="http://dkpp.rv.ua/index.php?level=25.71.1" TargetMode="External"/><Relationship Id="rId86" Type="http://schemas.openxmlformats.org/officeDocument/2006/relationships/hyperlink" Target="http://dkpp.rv.ua/index.php?level=86.10.1" TargetMode="External"/><Relationship Id="rId94" Type="http://schemas.openxmlformats.org/officeDocument/2006/relationships/hyperlink" Target="http://dkpp.rv.ua/index.php?level=13.10.7" TargetMode="External"/><Relationship Id="rId99" Type="http://schemas.openxmlformats.org/officeDocument/2006/relationships/hyperlink" Target="http://dkpp.rv.ua/index.php?level=17.22.1" TargetMode="External"/><Relationship Id="rId101" Type="http://schemas.openxmlformats.org/officeDocument/2006/relationships/hyperlink" Target="http://dkpp.rv.ua/index.php?level=25.99.1" TargetMode="External"/><Relationship Id="rId4" Type="http://schemas.openxmlformats.org/officeDocument/2006/relationships/hyperlink" Target="http://dk16.dovidnyk.info/index.php?rozd=19731" TargetMode="External"/><Relationship Id="rId9" Type="http://schemas.openxmlformats.org/officeDocument/2006/relationships/hyperlink" Target="http://dk16.dovidnyk.info/index.php?rozd=19816" TargetMode="External"/><Relationship Id="rId13" Type="http://schemas.openxmlformats.org/officeDocument/2006/relationships/hyperlink" Target="http://dk16.dovidnyk.info/index.php?rozd=20211" TargetMode="External"/><Relationship Id="rId18" Type="http://schemas.openxmlformats.org/officeDocument/2006/relationships/hyperlink" Target="http://dk16.dovidnyk.info/index.php?rozd=16838" TargetMode="External"/><Relationship Id="rId39" Type="http://schemas.openxmlformats.org/officeDocument/2006/relationships/hyperlink" Target="http://dkpp.rv.ua/index.php?level=38.32.1" TargetMode="External"/><Relationship Id="rId109" Type="http://schemas.openxmlformats.org/officeDocument/2006/relationships/hyperlink" Target="http://dkpp.rv.ua/index.php?level=10.51.1" TargetMode="External"/><Relationship Id="rId34" Type="http://schemas.openxmlformats.org/officeDocument/2006/relationships/hyperlink" Target="http://dkpp.rv.ua/index.php?level=20.13.6" TargetMode="External"/><Relationship Id="rId50" Type="http://schemas.openxmlformats.org/officeDocument/2006/relationships/hyperlink" Target="http://dkpp.rv.ua/index.php?level=38.11.2" TargetMode="External"/><Relationship Id="rId55" Type="http://schemas.openxmlformats.org/officeDocument/2006/relationships/hyperlink" Target="http://dkpp.rv.ua/index.php?level=17.12.1" TargetMode="External"/><Relationship Id="rId76" Type="http://schemas.openxmlformats.org/officeDocument/2006/relationships/hyperlink" Target="http://dkpp.rv.ua/index.php?level=20.52.1" TargetMode="External"/><Relationship Id="rId97" Type="http://schemas.openxmlformats.org/officeDocument/2006/relationships/hyperlink" Target="http://dkpp.rv.ua/index.php?level=27.40.1" TargetMode="External"/><Relationship Id="rId104" Type="http://schemas.openxmlformats.org/officeDocument/2006/relationships/hyperlink" Target="http://dkpp.rv.ua/index.php?level=29.10.1" TargetMode="External"/><Relationship Id="rId7" Type="http://schemas.openxmlformats.org/officeDocument/2006/relationships/hyperlink" Target="http://dk16.dovidnyk.info/index.php?rozd=21201" TargetMode="External"/><Relationship Id="rId71" Type="http://schemas.openxmlformats.org/officeDocument/2006/relationships/hyperlink" Target="http://dkpp.rv.ua/index.php?level=58.11.1" TargetMode="External"/><Relationship Id="rId92" Type="http://schemas.openxmlformats.org/officeDocument/2006/relationships/hyperlink" Target="http://dkpp.rv.ua/index.php?search=43.22.1&amp;type=code" TargetMode="External"/><Relationship Id="rId2" Type="http://schemas.openxmlformats.org/officeDocument/2006/relationships/hyperlink" Target="http://dk16.dovidnyk.info/index.php?rozd=16953" TargetMode="External"/><Relationship Id="rId29" Type="http://schemas.openxmlformats.org/officeDocument/2006/relationships/hyperlink" Target="http://dk16.dovidnyk.info/index.php?rozd=19408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dkpp.rv.ua/index.php?level=85.59.1" TargetMode="External"/><Relationship Id="rId117" Type="http://schemas.openxmlformats.org/officeDocument/2006/relationships/hyperlink" Target="http://dkpp.rv.ua/index.php?level=17.12.1" TargetMode="External"/><Relationship Id="rId21" Type="http://schemas.openxmlformats.org/officeDocument/2006/relationships/hyperlink" Target="http://dkpp.rv.ua/index.php?level=20.11.1" TargetMode="External"/><Relationship Id="rId42" Type="http://schemas.openxmlformats.org/officeDocument/2006/relationships/hyperlink" Target="http://dkpp.rv.ua/index.php?level=28.22.1" TargetMode="External"/><Relationship Id="rId47" Type="http://schemas.openxmlformats.org/officeDocument/2006/relationships/hyperlink" Target="http://dkpp.rv.ua/index.php?level=25.29.1" TargetMode="External"/><Relationship Id="rId63" Type="http://schemas.openxmlformats.org/officeDocument/2006/relationships/hyperlink" Target="http://dk16.dovidnyk.info/index.php?rozd=14793" TargetMode="External"/><Relationship Id="rId68" Type="http://schemas.openxmlformats.org/officeDocument/2006/relationships/hyperlink" Target="http://dk16.dovidnyk.info/index.php?rozd=14793" TargetMode="External"/><Relationship Id="rId84" Type="http://schemas.openxmlformats.org/officeDocument/2006/relationships/hyperlink" Target="http://dk16.dovidnyk.info/index.php?rozd=19408" TargetMode="External"/><Relationship Id="rId89" Type="http://schemas.openxmlformats.org/officeDocument/2006/relationships/hyperlink" Target="http://dkpp.rv.ua/index.php?level=32.50.1" TargetMode="External"/><Relationship Id="rId112" Type="http://schemas.openxmlformats.org/officeDocument/2006/relationships/hyperlink" Target="http://dkpp.rv.ua/index.php?level=38.11.2" TargetMode="External"/><Relationship Id="rId133" Type="http://schemas.openxmlformats.org/officeDocument/2006/relationships/hyperlink" Target="http://dkpp.rv.ua/index.php?level=26.60.1" TargetMode="External"/><Relationship Id="rId138" Type="http://schemas.openxmlformats.org/officeDocument/2006/relationships/hyperlink" Target="http://dkpp.rv.ua/index.php?level=22.22.1" TargetMode="External"/><Relationship Id="rId154" Type="http://schemas.openxmlformats.org/officeDocument/2006/relationships/hyperlink" Target="http://dkpp.rv.ua/index.php?level=26.20.1" TargetMode="External"/><Relationship Id="rId159" Type="http://schemas.openxmlformats.org/officeDocument/2006/relationships/hyperlink" Target="http://dkpp.rv.ua/index.php?level=43.22.1" TargetMode="External"/><Relationship Id="rId175" Type="http://schemas.openxmlformats.org/officeDocument/2006/relationships/hyperlink" Target="http://dkpp.rv.ua/index.php?level=26.51.7" TargetMode="External"/><Relationship Id="rId170" Type="http://schemas.openxmlformats.org/officeDocument/2006/relationships/hyperlink" Target="http://dkpp.rv.ua/index.php?level=25.94.1" TargetMode="External"/><Relationship Id="rId16" Type="http://schemas.openxmlformats.org/officeDocument/2006/relationships/hyperlink" Target="http://dk16.dovidnyk.info/index.php?rozd=19647" TargetMode="External"/><Relationship Id="rId107" Type="http://schemas.openxmlformats.org/officeDocument/2006/relationships/hyperlink" Target="http://dkpp.rv.ua/index.php?level=96.09.1" TargetMode="External"/><Relationship Id="rId11" Type="http://schemas.openxmlformats.org/officeDocument/2006/relationships/hyperlink" Target="http://dk16.dovidnyk.info/index.php?rozd=20630" TargetMode="External"/><Relationship Id="rId32" Type="http://schemas.openxmlformats.org/officeDocument/2006/relationships/hyperlink" Target="http://dkpp.rv.ua/index.php?level=22.19.2" TargetMode="External"/><Relationship Id="rId37" Type="http://schemas.openxmlformats.org/officeDocument/2006/relationships/hyperlink" Target="http://dkpp.rv.ua/index.php?level=25.73.4" TargetMode="External"/><Relationship Id="rId53" Type="http://schemas.openxmlformats.org/officeDocument/2006/relationships/hyperlink" Target="http://dk16.dovidnyk.info/index.php?rozd=484" TargetMode="External"/><Relationship Id="rId58" Type="http://schemas.openxmlformats.org/officeDocument/2006/relationships/hyperlink" Target="http://dk16.dovidnyk.info/index.php?rozd=14751" TargetMode="External"/><Relationship Id="rId74" Type="http://schemas.openxmlformats.org/officeDocument/2006/relationships/hyperlink" Target="http://dk16.dovidnyk.info/index.php?rozd=9872" TargetMode="External"/><Relationship Id="rId79" Type="http://schemas.openxmlformats.org/officeDocument/2006/relationships/hyperlink" Target="http://dkpp.rv.ua/index.php?level=10.86.1" TargetMode="External"/><Relationship Id="rId102" Type="http://schemas.openxmlformats.org/officeDocument/2006/relationships/hyperlink" Target="http://dkpp.rv.ua/index.php?level=33.13.1" TargetMode="External"/><Relationship Id="rId123" Type="http://schemas.openxmlformats.org/officeDocument/2006/relationships/hyperlink" Target="http://dkpp.rv.ua/index.php?level=24.20.4" TargetMode="External"/><Relationship Id="rId128" Type="http://schemas.openxmlformats.org/officeDocument/2006/relationships/hyperlink" Target="http://dkpp.rv.ua/index.php?level=25.73.2" TargetMode="External"/><Relationship Id="rId144" Type="http://schemas.openxmlformats.org/officeDocument/2006/relationships/hyperlink" Target="http://dkpp.rv.ua/index.php?level=63.99.1" TargetMode="External"/><Relationship Id="rId149" Type="http://schemas.openxmlformats.org/officeDocument/2006/relationships/hyperlink" Target="http://dkpp.rv.ua/index.php?level=63.11.1" TargetMode="External"/><Relationship Id="rId5" Type="http://schemas.openxmlformats.org/officeDocument/2006/relationships/hyperlink" Target="http://dk16.dovidnyk.info/index.php?rozd=21156" TargetMode="External"/><Relationship Id="rId90" Type="http://schemas.openxmlformats.org/officeDocument/2006/relationships/hyperlink" Target="http://dkpp.rv.ua/index.php?level=20.30.2" TargetMode="External"/><Relationship Id="rId95" Type="http://schemas.openxmlformats.org/officeDocument/2006/relationships/hyperlink" Target="http://dkpp.rv.ua/index.php?level=22.29.2" TargetMode="External"/><Relationship Id="rId160" Type="http://schemas.openxmlformats.org/officeDocument/2006/relationships/hyperlink" Target="http://dkpp.rv.ua/index.php?search=43.22.1&amp;type=code" TargetMode="External"/><Relationship Id="rId165" Type="http://schemas.openxmlformats.org/officeDocument/2006/relationships/hyperlink" Target="http://dkpp.rv.ua/index.php?level=27.33.1" TargetMode="External"/><Relationship Id="rId22" Type="http://schemas.openxmlformats.org/officeDocument/2006/relationships/hyperlink" Target="http://dk16.dovidnyk.info/index.php?rozd=19408" TargetMode="External"/><Relationship Id="rId27" Type="http://schemas.openxmlformats.org/officeDocument/2006/relationships/hyperlink" Target="http://dkpp.rv.ua/index.php?level=15.20.3" TargetMode="External"/><Relationship Id="rId43" Type="http://schemas.openxmlformats.org/officeDocument/2006/relationships/hyperlink" Target="http://dkpp.rv.ua/index.php?level=28.29.1" TargetMode="External"/><Relationship Id="rId48" Type="http://schemas.openxmlformats.org/officeDocument/2006/relationships/hyperlink" Target="http://dkpp.rv.ua/index.php?level=17.29.1" TargetMode="External"/><Relationship Id="rId64" Type="http://schemas.openxmlformats.org/officeDocument/2006/relationships/hyperlink" Target="http://dkpp.rv.ua/index.php?level=38.12.1" TargetMode="External"/><Relationship Id="rId69" Type="http://schemas.openxmlformats.org/officeDocument/2006/relationships/hyperlink" Target="http://dk16.dovidnyk.info/index.php?rozd=19408" TargetMode="External"/><Relationship Id="rId113" Type="http://schemas.openxmlformats.org/officeDocument/2006/relationships/hyperlink" Target="http://dkpp.rv.ua/index.php?level=31.03.1" TargetMode="External"/><Relationship Id="rId118" Type="http://schemas.openxmlformats.org/officeDocument/2006/relationships/hyperlink" Target="http://dkpp.rv.ua/index.php?level=17.12.2" TargetMode="External"/><Relationship Id="rId134" Type="http://schemas.openxmlformats.org/officeDocument/2006/relationships/hyperlink" Target="http://dkpp.rv.ua/index.php?level=58.11.1" TargetMode="External"/><Relationship Id="rId139" Type="http://schemas.openxmlformats.org/officeDocument/2006/relationships/hyperlink" Target="http://dkpp.rv.ua/index.php?level=20.52.1" TargetMode="External"/><Relationship Id="rId80" Type="http://schemas.openxmlformats.org/officeDocument/2006/relationships/hyperlink" Target="http://dkpp.rv.ua/index.php?level=26.51.5" TargetMode="External"/><Relationship Id="rId85" Type="http://schemas.openxmlformats.org/officeDocument/2006/relationships/hyperlink" Target="http://dk16.dovidnyk.info/index.php?rozd=12291" TargetMode="External"/><Relationship Id="rId150" Type="http://schemas.openxmlformats.org/officeDocument/2006/relationships/hyperlink" Target="http://dkpp.rv.ua/index.php?level=84.12.1" TargetMode="External"/><Relationship Id="rId155" Type="http://schemas.openxmlformats.org/officeDocument/2006/relationships/hyperlink" Target="http://dk16.dovidnyk.info/index.php?rozd=14094" TargetMode="External"/><Relationship Id="rId171" Type="http://schemas.openxmlformats.org/officeDocument/2006/relationships/hyperlink" Target="http://dkpp.rv.ua/index.php?level=25.99.1" TargetMode="External"/><Relationship Id="rId176" Type="http://schemas.openxmlformats.org/officeDocument/2006/relationships/hyperlink" Target="http://dkpp.rv.ua/index.php?level=36.00.2" TargetMode="External"/><Relationship Id="rId12" Type="http://schemas.openxmlformats.org/officeDocument/2006/relationships/hyperlink" Target="http://dk16.dovidnyk.info/index.php?rozd=16953" TargetMode="External"/><Relationship Id="rId17" Type="http://schemas.openxmlformats.org/officeDocument/2006/relationships/hyperlink" Target="http://dk16.dovidnyk.info/index.php?rozd=19660" TargetMode="External"/><Relationship Id="rId33" Type="http://schemas.openxmlformats.org/officeDocument/2006/relationships/hyperlink" Target="http://dkpp.rv.ua/index.php?level=22.19.6" TargetMode="External"/><Relationship Id="rId38" Type="http://schemas.openxmlformats.org/officeDocument/2006/relationships/hyperlink" Target="http://dkpp.rv.ua/index.php?level=26.12.2" TargetMode="External"/><Relationship Id="rId59" Type="http://schemas.openxmlformats.org/officeDocument/2006/relationships/hyperlink" Target="http://dkpp.rv.ua/index.php?level=74.90.1" TargetMode="External"/><Relationship Id="rId103" Type="http://schemas.openxmlformats.org/officeDocument/2006/relationships/hyperlink" Target="http://dkpp.rv.ua/index.php?level=22.29.2" TargetMode="External"/><Relationship Id="rId108" Type="http://schemas.openxmlformats.org/officeDocument/2006/relationships/hyperlink" Target="http://dkpp.rv.ua/index.php?level=26.51.6" TargetMode="External"/><Relationship Id="rId124" Type="http://schemas.openxmlformats.org/officeDocument/2006/relationships/hyperlink" Target="http://dkpp.rv.ua/index.php?level=25.72.1" TargetMode="External"/><Relationship Id="rId129" Type="http://schemas.openxmlformats.org/officeDocument/2006/relationships/hyperlink" Target="http://dkpp.rv.ua/index.php?level=27.40.1" TargetMode="External"/><Relationship Id="rId54" Type="http://schemas.openxmlformats.org/officeDocument/2006/relationships/hyperlink" Target="http://dk16.dovidnyk.info/index.php?rozd=20211" TargetMode="External"/><Relationship Id="rId70" Type="http://schemas.openxmlformats.org/officeDocument/2006/relationships/hyperlink" Target="http://dk16.dovidnyk.info/index.php?rozd=19408" TargetMode="External"/><Relationship Id="rId75" Type="http://schemas.openxmlformats.org/officeDocument/2006/relationships/hyperlink" Target="http://dk16.dovidnyk.info/index.php?rozd=9694" TargetMode="External"/><Relationship Id="rId91" Type="http://schemas.openxmlformats.org/officeDocument/2006/relationships/hyperlink" Target="http://dk16.dovidnyk.info/index.php?rozd=9524" TargetMode="External"/><Relationship Id="rId96" Type="http://schemas.openxmlformats.org/officeDocument/2006/relationships/hyperlink" Target="http://dkpp.rv.ua/index.php?level=74.90.1" TargetMode="External"/><Relationship Id="rId140" Type="http://schemas.openxmlformats.org/officeDocument/2006/relationships/hyperlink" Target="http://dkpp.rv.ua/index.php?level=26.51.6" TargetMode="External"/><Relationship Id="rId145" Type="http://schemas.openxmlformats.org/officeDocument/2006/relationships/hyperlink" Target="http://dkpp.rv.ua/index.php?level=22.21.4" TargetMode="External"/><Relationship Id="rId161" Type="http://schemas.openxmlformats.org/officeDocument/2006/relationships/hyperlink" Target="http://dk16.dovidnyk.info/index.php?rozd=14094" TargetMode="External"/><Relationship Id="rId166" Type="http://schemas.openxmlformats.org/officeDocument/2006/relationships/hyperlink" Target="http://dkpp.rv.ua/index.php?level=27.40.1" TargetMode="External"/><Relationship Id="rId1" Type="http://schemas.openxmlformats.org/officeDocument/2006/relationships/hyperlink" Target="http://dk16.dovidnyk.info/index.php?rozd=16868" TargetMode="External"/><Relationship Id="rId6" Type="http://schemas.openxmlformats.org/officeDocument/2006/relationships/hyperlink" Target="http://dk16.dovidnyk.info/index.php?rozd=20759" TargetMode="External"/><Relationship Id="rId23" Type="http://schemas.openxmlformats.org/officeDocument/2006/relationships/hyperlink" Target="http://dk16.dovidnyk.info/index.php?rozd=19408" TargetMode="External"/><Relationship Id="rId28" Type="http://schemas.openxmlformats.org/officeDocument/2006/relationships/hyperlink" Target="http://dkpp.rv.ua/index.php?level=17.12.7" TargetMode="External"/><Relationship Id="rId49" Type="http://schemas.openxmlformats.org/officeDocument/2006/relationships/hyperlink" Target="http://dkpp.rv.ua/index.php?level=29.32.2" TargetMode="External"/><Relationship Id="rId114" Type="http://schemas.openxmlformats.org/officeDocument/2006/relationships/hyperlink" Target="http://dkpp.rv.ua/index.php?level=14.19.2" TargetMode="External"/><Relationship Id="rId119" Type="http://schemas.openxmlformats.org/officeDocument/2006/relationships/hyperlink" Target="http://dkpp.rv.ua/index.php?level=22.21.2" TargetMode="External"/><Relationship Id="rId10" Type="http://schemas.openxmlformats.org/officeDocument/2006/relationships/hyperlink" Target="http://dk16.dovidnyk.info/index.php?rozd=16868" TargetMode="External"/><Relationship Id="rId31" Type="http://schemas.openxmlformats.org/officeDocument/2006/relationships/hyperlink" Target="http://dkpp.rv.ua/index.php?level=20.60.1" TargetMode="External"/><Relationship Id="rId44" Type="http://schemas.openxmlformats.org/officeDocument/2006/relationships/hyperlink" Target="http://dkpp.rv.ua/index.php?level=32.50.1" TargetMode="External"/><Relationship Id="rId52" Type="http://schemas.openxmlformats.org/officeDocument/2006/relationships/hyperlink" Target="http://dk16.dovidnyk.info/index.php?rozd=21156" TargetMode="External"/><Relationship Id="rId60" Type="http://schemas.openxmlformats.org/officeDocument/2006/relationships/hyperlink" Target="http://dkpp.rv.ua/index.php?level=86.90.1" TargetMode="External"/><Relationship Id="rId65" Type="http://schemas.openxmlformats.org/officeDocument/2006/relationships/hyperlink" Target="http://dkpp.rv.ua/index.php?level=84.12.1" TargetMode="External"/><Relationship Id="rId73" Type="http://schemas.openxmlformats.org/officeDocument/2006/relationships/hyperlink" Target="http://dk16.dovidnyk.info/index.php?rozd=9694" TargetMode="External"/><Relationship Id="rId78" Type="http://schemas.openxmlformats.org/officeDocument/2006/relationships/hyperlink" Target="http://dkpp.rv.ua/index.php?level=20.14.4" TargetMode="External"/><Relationship Id="rId81" Type="http://schemas.openxmlformats.org/officeDocument/2006/relationships/hyperlink" Target="http://dkpp.rv.ua/index.php?level=10.51.3" TargetMode="External"/><Relationship Id="rId86" Type="http://schemas.openxmlformats.org/officeDocument/2006/relationships/hyperlink" Target="http://dk16.dovidnyk.info/index.php?rozd=19816" TargetMode="External"/><Relationship Id="rId94" Type="http://schemas.openxmlformats.org/officeDocument/2006/relationships/hyperlink" Target="http://dk16.dovidnyk.info/index.php?rozd=14531" TargetMode="External"/><Relationship Id="rId99" Type="http://schemas.openxmlformats.org/officeDocument/2006/relationships/hyperlink" Target="http://dkpp.rv.ua/index.php?search=24.10.1&amp;type=code" TargetMode="External"/><Relationship Id="rId101" Type="http://schemas.openxmlformats.org/officeDocument/2006/relationships/hyperlink" Target="http://dkpp.rv.ua/index.php?level=38.32.1" TargetMode="External"/><Relationship Id="rId122" Type="http://schemas.openxmlformats.org/officeDocument/2006/relationships/hyperlink" Target="http://dkpp.rv.ua/index.php?level=23.51.1" TargetMode="External"/><Relationship Id="rId130" Type="http://schemas.openxmlformats.org/officeDocument/2006/relationships/hyperlink" Target="http://dkpp.rv.ua/index.php?level=28.14.1" TargetMode="External"/><Relationship Id="rId135" Type="http://schemas.openxmlformats.org/officeDocument/2006/relationships/hyperlink" Target="http://dkpp.rv.ua/index.php?level=32.91.1" TargetMode="External"/><Relationship Id="rId143" Type="http://schemas.openxmlformats.org/officeDocument/2006/relationships/hyperlink" Target="http://dk16.dovidnyk.info/index.php?rozd=19816" TargetMode="External"/><Relationship Id="rId148" Type="http://schemas.openxmlformats.org/officeDocument/2006/relationships/hyperlink" Target="http://dkpp.rv.ua/index.php?level=33.14.1" TargetMode="External"/><Relationship Id="rId151" Type="http://schemas.openxmlformats.org/officeDocument/2006/relationships/hyperlink" Target="http://dkpp.rv.ua/index.php?level=26.20.1" TargetMode="External"/><Relationship Id="rId156" Type="http://schemas.openxmlformats.org/officeDocument/2006/relationships/hyperlink" Target="http://dk16.dovidnyk.info/index.php?rozd=10488" TargetMode="External"/><Relationship Id="rId164" Type="http://schemas.openxmlformats.org/officeDocument/2006/relationships/hyperlink" Target="http://dkpp.rv.ua/index.php?level=16.29.2" TargetMode="External"/><Relationship Id="rId169" Type="http://schemas.openxmlformats.org/officeDocument/2006/relationships/hyperlink" Target="http://dkpp.rv.ua/index.php?level=27.40.1" TargetMode="External"/><Relationship Id="rId177" Type="http://schemas.openxmlformats.org/officeDocument/2006/relationships/hyperlink" Target="http://dkpp.rv.ua/index.php?level=37.00.1" TargetMode="External"/><Relationship Id="rId4" Type="http://schemas.openxmlformats.org/officeDocument/2006/relationships/hyperlink" Target="http://dk16.dovidnyk.info/index.php?rozd=19731" TargetMode="External"/><Relationship Id="rId9" Type="http://schemas.openxmlformats.org/officeDocument/2006/relationships/hyperlink" Target="http://dk16.dovidnyk.info/index.php?rozd=19816" TargetMode="External"/><Relationship Id="rId172" Type="http://schemas.openxmlformats.org/officeDocument/2006/relationships/hyperlink" Target="http://dk16.dovidnyk.info/index.php?rozd=9694" TargetMode="External"/><Relationship Id="rId180" Type="http://schemas.openxmlformats.org/officeDocument/2006/relationships/printerSettings" Target="../printerSettings/printerSettings3.bin"/><Relationship Id="rId13" Type="http://schemas.openxmlformats.org/officeDocument/2006/relationships/hyperlink" Target="http://dk16.dovidnyk.info/index.php?rozd=20211" TargetMode="External"/><Relationship Id="rId18" Type="http://schemas.openxmlformats.org/officeDocument/2006/relationships/hyperlink" Target="http://dk16.dovidnyk.info/index.php?rozd=19660" TargetMode="External"/><Relationship Id="rId39" Type="http://schemas.openxmlformats.org/officeDocument/2006/relationships/hyperlink" Target="http://dkpp.rv.ua/index.php?level=26.40.3" TargetMode="External"/><Relationship Id="rId109" Type="http://schemas.openxmlformats.org/officeDocument/2006/relationships/hyperlink" Target="http://dkpp.rv.ua/index.php?search=22.23.1&amp;type=code" TargetMode="External"/><Relationship Id="rId34" Type="http://schemas.openxmlformats.org/officeDocument/2006/relationships/hyperlink" Target="http://dkpp.rv.ua/index.php?level=22.19.7" TargetMode="External"/><Relationship Id="rId50" Type="http://schemas.openxmlformats.org/officeDocument/2006/relationships/hyperlink" Target="http://dkpp.rv.ua/index.php?level=32.50.4" TargetMode="External"/><Relationship Id="rId55" Type="http://schemas.openxmlformats.org/officeDocument/2006/relationships/hyperlink" Target="http://dk16.dovidnyk.info/index.php?rozd=16838" TargetMode="External"/><Relationship Id="rId76" Type="http://schemas.openxmlformats.org/officeDocument/2006/relationships/hyperlink" Target="http://dkpp.rv.ua/index.php?level=27.32.1" TargetMode="External"/><Relationship Id="rId97" Type="http://schemas.openxmlformats.org/officeDocument/2006/relationships/hyperlink" Target="http://dkpp.rv.ua/index.php?level=13.92.2" TargetMode="External"/><Relationship Id="rId104" Type="http://schemas.openxmlformats.org/officeDocument/2006/relationships/hyperlink" Target="http://dkpp.rv.ua/index.php?level=17.29.1" TargetMode="External"/><Relationship Id="rId120" Type="http://schemas.openxmlformats.org/officeDocument/2006/relationships/hyperlink" Target="http://dkpp.rv.ua/index.php?level=22.19.2" TargetMode="External"/><Relationship Id="rId125" Type="http://schemas.openxmlformats.org/officeDocument/2006/relationships/hyperlink" Target="http://dkpp.rv.ua/index.php?level=25.73.3" TargetMode="External"/><Relationship Id="rId141" Type="http://schemas.openxmlformats.org/officeDocument/2006/relationships/hyperlink" Target="http://dkpp.rv.ua/index.php?level=26.11.3" TargetMode="External"/><Relationship Id="rId146" Type="http://schemas.openxmlformats.org/officeDocument/2006/relationships/hyperlink" Target="http://dkpp.rv.ua/index.php?level=23.52.2" TargetMode="External"/><Relationship Id="rId167" Type="http://schemas.openxmlformats.org/officeDocument/2006/relationships/hyperlink" Target="http://dkpp.rv.ua/index.php?level=29.31.2" TargetMode="External"/><Relationship Id="rId7" Type="http://schemas.openxmlformats.org/officeDocument/2006/relationships/hyperlink" Target="http://dk16.dovidnyk.info/index.php?rozd=21201" TargetMode="External"/><Relationship Id="rId71" Type="http://schemas.openxmlformats.org/officeDocument/2006/relationships/hyperlink" Target="http://dkpp.rv.ua/index.php?level=32.50.5" TargetMode="External"/><Relationship Id="rId92" Type="http://schemas.openxmlformats.org/officeDocument/2006/relationships/hyperlink" Target="http://dkpp.rv.ua/index.php?level=20.13.6" TargetMode="External"/><Relationship Id="rId162" Type="http://schemas.openxmlformats.org/officeDocument/2006/relationships/hyperlink" Target="http://dkpp.rv.ua/index.php?level=13.10.7" TargetMode="External"/><Relationship Id="rId2" Type="http://schemas.openxmlformats.org/officeDocument/2006/relationships/hyperlink" Target="http://dk16.dovidnyk.info/index.php?rozd=16953" TargetMode="External"/><Relationship Id="rId29" Type="http://schemas.openxmlformats.org/officeDocument/2006/relationships/hyperlink" Target="http://dkpp.rv.ua/index.php?level=20.14.3" TargetMode="External"/><Relationship Id="rId24" Type="http://schemas.openxmlformats.org/officeDocument/2006/relationships/hyperlink" Target="http://dkpp.rv.ua/index.php?level=62.01.11" TargetMode="External"/><Relationship Id="rId40" Type="http://schemas.openxmlformats.org/officeDocument/2006/relationships/hyperlink" Target="http://dkpp.rv.ua/index.php?level=26.52.1" TargetMode="External"/><Relationship Id="rId45" Type="http://schemas.openxmlformats.org/officeDocument/2006/relationships/hyperlink" Target="http://dkpp.rv.ua/index.php?level=32.91.1" TargetMode="External"/><Relationship Id="rId66" Type="http://schemas.openxmlformats.org/officeDocument/2006/relationships/hyperlink" Target="http://dkpp.rv.ua/index.php?level=86.90.1" TargetMode="External"/><Relationship Id="rId87" Type="http://schemas.openxmlformats.org/officeDocument/2006/relationships/hyperlink" Target="http://dk16.dovidnyk.info/index.php?rozd=19731" TargetMode="External"/><Relationship Id="rId110" Type="http://schemas.openxmlformats.org/officeDocument/2006/relationships/hyperlink" Target="http://dkpp.rv.ua/index.php?level=22.23.1" TargetMode="External"/><Relationship Id="rId115" Type="http://schemas.openxmlformats.org/officeDocument/2006/relationships/hyperlink" Target="http://dkpp.rv.ua/index.php?level=17.12.7" TargetMode="External"/><Relationship Id="rId131" Type="http://schemas.openxmlformats.org/officeDocument/2006/relationships/hyperlink" Target="http://dkpp.rv.ua/index.php?level=28.30.4" TargetMode="External"/><Relationship Id="rId136" Type="http://schemas.openxmlformats.org/officeDocument/2006/relationships/hyperlink" Target="http://dk16.dovidnyk.info/index.php?rozd=20759" TargetMode="External"/><Relationship Id="rId157" Type="http://schemas.openxmlformats.org/officeDocument/2006/relationships/hyperlink" Target="http://dk16.dovidnyk.info/index.php?rozd=10488" TargetMode="External"/><Relationship Id="rId178" Type="http://schemas.openxmlformats.org/officeDocument/2006/relationships/hyperlink" Target="http://dkpp.rv.ua/index.php?level=22.19.2" TargetMode="External"/><Relationship Id="rId61" Type="http://schemas.openxmlformats.org/officeDocument/2006/relationships/hyperlink" Target="http://dkpp.rv.ua/index.php?level=86.10.1" TargetMode="External"/><Relationship Id="rId82" Type="http://schemas.openxmlformats.org/officeDocument/2006/relationships/hyperlink" Target="http://dkpp.rv.ua/index.php?level=18.12.1" TargetMode="External"/><Relationship Id="rId152" Type="http://schemas.openxmlformats.org/officeDocument/2006/relationships/hyperlink" Target="http://dkpp.rv.ua/index.php?level=86.10.1" TargetMode="External"/><Relationship Id="rId173" Type="http://schemas.openxmlformats.org/officeDocument/2006/relationships/hyperlink" Target="http://dk16.dovidnyk.info/index.php?rozd=484" TargetMode="External"/><Relationship Id="rId19" Type="http://schemas.openxmlformats.org/officeDocument/2006/relationships/hyperlink" Target="http://dk16.dovidnyk.info/index.php?rozd=16838" TargetMode="External"/><Relationship Id="rId14" Type="http://schemas.openxmlformats.org/officeDocument/2006/relationships/hyperlink" Target="http://dk16.dovidnyk.info/index.php?rozd=19868" TargetMode="External"/><Relationship Id="rId30" Type="http://schemas.openxmlformats.org/officeDocument/2006/relationships/hyperlink" Target="http://dkpp.rv.ua/index.php?level=20.30.2" TargetMode="External"/><Relationship Id="rId35" Type="http://schemas.openxmlformats.org/officeDocument/2006/relationships/hyperlink" Target="http://dkpp.rv.ua/index.php?level=22.23.1" TargetMode="External"/><Relationship Id="rId56" Type="http://schemas.openxmlformats.org/officeDocument/2006/relationships/hyperlink" Target="http://dk16.dovidnyk.info/index.php?rozd=16838" TargetMode="External"/><Relationship Id="rId77" Type="http://schemas.openxmlformats.org/officeDocument/2006/relationships/hyperlink" Target="http://dkpp.rv.ua/index.php?level=20.14.4" TargetMode="External"/><Relationship Id="rId100" Type="http://schemas.openxmlformats.org/officeDocument/2006/relationships/hyperlink" Target="http://dk16.dovidnyk.info/index.php?rozd=9694" TargetMode="External"/><Relationship Id="rId105" Type="http://schemas.openxmlformats.org/officeDocument/2006/relationships/hyperlink" Target="http://dk16.dovidnyk.info/index.php?rozd=14751" TargetMode="External"/><Relationship Id="rId126" Type="http://schemas.openxmlformats.org/officeDocument/2006/relationships/hyperlink" Target="http://dkpp.rv.ua/index.php?level=25.73.2" TargetMode="External"/><Relationship Id="rId147" Type="http://schemas.openxmlformats.org/officeDocument/2006/relationships/hyperlink" Target="http://dkpp.rv.ua/index.php?level=25.71.1" TargetMode="External"/><Relationship Id="rId168" Type="http://schemas.openxmlformats.org/officeDocument/2006/relationships/hyperlink" Target="http://dkpp.rv.ua/index.php?level=17.22.1" TargetMode="External"/><Relationship Id="rId8" Type="http://schemas.openxmlformats.org/officeDocument/2006/relationships/hyperlink" Target="http://dk16.dovidnyk.info/index.php?rozd=19859" TargetMode="External"/><Relationship Id="rId51" Type="http://schemas.openxmlformats.org/officeDocument/2006/relationships/hyperlink" Target="http://dkpp.rv.ua/index.php?level=20.15.3" TargetMode="External"/><Relationship Id="rId72" Type="http://schemas.openxmlformats.org/officeDocument/2006/relationships/hyperlink" Target="http://dk16.dovidnyk.info/index.php?rozd=9872" TargetMode="External"/><Relationship Id="rId93" Type="http://schemas.openxmlformats.org/officeDocument/2006/relationships/hyperlink" Target="http://dkpp.rv.ua/index.php?level=20.59.6" TargetMode="External"/><Relationship Id="rId98" Type="http://schemas.openxmlformats.org/officeDocument/2006/relationships/hyperlink" Target="http://dkpp.rv.ua/index.php?level=24.10.1" TargetMode="External"/><Relationship Id="rId121" Type="http://schemas.openxmlformats.org/officeDocument/2006/relationships/hyperlink" Target="http://dkpp.rv.ua/index.php?level=23.20.1" TargetMode="External"/><Relationship Id="rId142" Type="http://schemas.openxmlformats.org/officeDocument/2006/relationships/hyperlink" Target="http://dkpp.rv.ua/index.php?level=32.99.1" TargetMode="External"/><Relationship Id="rId163" Type="http://schemas.openxmlformats.org/officeDocument/2006/relationships/hyperlink" Target="http://dkpp.rv.ua/index.php?level=13.20.3" TargetMode="External"/><Relationship Id="rId3" Type="http://schemas.openxmlformats.org/officeDocument/2006/relationships/hyperlink" Target="http://dk16.dovidnyk.info/index.php?rozd=9872" TargetMode="External"/><Relationship Id="rId25" Type="http://schemas.openxmlformats.org/officeDocument/2006/relationships/hyperlink" Target="http://dk16.dovidnyk.info/index.php?rozd=20630" TargetMode="External"/><Relationship Id="rId46" Type="http://schemas.openxmlformats.org/officeDocument/2006/relationships/hyperlink" Target="http://dkpp.rv.ua/index.php?level=27.51.1" TargetMode="External"/><Relationship Id="rId67" Type="http://schemas.openxmlformats.org/officeDocument/2006/relationships/hyperlink" Target="http://dk16.dovidnyk.info/index.php?rozd=14797" TargetMode="External"/><Relationship Id="rId116" Type="http://schemas.openxmlformats.org/officeDocument/2006/relationships/hyperlink" Target="http://dkpp.rv.ua/index.php?level=16.29.1" TargetMode="External"/><Relationship Id="rId137" Type="http://schemas.openxmlformats.org/officeDocument/2006/relationships/hyperlink" Target="http://dkpp.rv.ua/index.php?level=80.20.1" TargetMode="External"/><Relationship Id="rId158" Type="http://schemas.openxmlformats.org/officeDocument/2006/relationships/hyperlink" Target="http://dkpp.rv.ua/index.php?level=32.50.1" TargetMode="External"/><Relationship Id="rId20" Type="http://schemas.openxmlformats.org/officeDocument/2006/relationships/hyperlink" Target="http://dk16.dovidnyk.info/index.php?rozd=16838" TargetMode="External"/><Relationship Id="rId41" Type="http://schemas.openxmlformats.org/officeDocument/2006/relationships/hyperlink" Target="http://dkpp.rv.ua/index.php?level=27.12.1" TargetMode="External"/><Relationship Id="rId62" Type="http://schemas.openxmlformats.org/officeDocument/2006/relationships/hyperlink" Target="http://dk16.dovidnyk.info/index.php?rozd=14797" TargetMode="External"/><Relationship Id="rId83" Type="http://schemas.openxmlformats.org/officeDocument/2006/relationships/hyperlink" Target="http://dk16.dovidnyk.info/index.php?rozd=19408" TargetMode="External"/><Relationship Id="rId88" Type="http://schemas.openxmlformats.org/officeDocument/2006/relationships/hyperlink" Target="http://dk16.dovidnyk.info/index.php?rozd=19816" TargetMode="External"/><Relationship Id="rId111" Type="http://schemas.openxmlformats.org/officeDocument/2006/relationships/hyperlink" Target="http://dkpp.rv.ua/index.php?level=20.14.3" TargetMode="External"/><Relationship Id="rId132" Type="http://schemas.openxmlformats.org/officeDocument/2006/relationships/hyperlink" Target="http://dkpp.rv.ua/index.php?level=21.10.6" TargetMode="External"/><Relationship Id="rId153" Type="http://schemas.openxmlformats.org/officeDocument/2006/relationships/hyperlink" Target="http://dk16.dovidnyk.info/index.php?rozd=19816" TargetMode="External"/><Relationship Id="rId174" Type="http://schemas.openxmlformats.org/officeDocument/2006/relationships/hyperlink" Target="http://dkpp.rv.ua/index.php?level=29.10.1" TargetMode="External"/><Relationship Id="rId179" Type="http://schemas.openxmlformats.org/officeDocument/2006/relationships/hyperlink" Target="http://dkpp.rv.ua/index.php?level=22.19.7" TargetMode="External"/><Relationship Id="rId15" Type="http://schemas.openxmlformats.org/officeDocument/2006/relationships/hyperlink" Target="http://dk16.dovidnyk.info/index.php?rozd=19647" TargetMode="External"/><Relationship Id="rId36" Type="http://schemas.openxmlformats.org/officeDocument/2006/relationships/hyperlink" Target="http://dkpp.rv.ua/index.php?level=24.20.3" TargetMode="External"/><Relationship Id="rId57" Type="http://schemas.openxmlformats.org/officeDocument/2006/relationships/hyperlink" Target="http://dk16.dovidnyk.info/index.php?rozd=19753" TargetMode="External"/><Relationship Id="rId106" Type="http://schemas.openxmlformats.org/officeDocument/2006/relationships/hyperlink" Target="http://dk16.dovidnyk.info/index.php?rozd=21201" TargetMode="External"/><Relationship Id="rId127" Type="http://schemas.openxmlformats.org/officeDocument/2006/relationships/hyperlink" Target="http://dkpp.rv.ua/index.php?level=25.73.1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dk16.dovidnyk.info/index.php?rozd=19859" TargetMode="External"/><Relationship Id="rId13" Type="http://schemas.openxmlformats.org/officeDocument/2006/relationships/hyperlink" Target="http://dk16.dovidnyk.info/index.php?rozd=20211" TargetMode="External"/><Relationship Id="rId18" Type="http://schemas.openxmlformats.org/officeDocument/2006/relationships/hyperlink" Target="http://dk16.dovidnyk.info/index.php?rozd=19660" TargetMode="External"/><Relationship Id="rId26" Type="http://schemas.openxmlformats.org/officeDocument/2006/relationships/hyperlink" Target="http://dkpp.rv.ua/index.php?level=74.90.1" TargetMode="External"/><Relationship Id="rId39" Type="http://schemas.openxmlformats.org/officeDocument/2006/relationships/hyperlink" Target="http://dkpp.rv.ua/index.php?level=33.13.1" TargetMode="External"/><Relationship Id="rId3" Type="http://schemas.openxmlformats.org/officeDocument/2006/relationships/hyperlink" Target="http://dk16.dovidnyk.info/index.php?rozd=9872" TargetMode="External"/><Relationship Id="rId21" Type="http://schemas.openxmlformats.org/officeDocument/2006/relationships/hyperlink" Target="http://dk16.dovidnyk.info/index.php?rozd=16838" TargetMode="External"/><Relationship Id="rId34" Type="http://schemas.openxmlformats.org/officeDocument/2006/relationships/hyperlink" Target="http://dkpp.rv.ua/index.php?level=10.41.5" TargetMode="External"/><Relationship Id="rId42" Type="http://schemas.openxmlformats.org/officeDocument/2006/relationships/hyperlink" Target="http://dkpp.rv.ua/index.php?level=20.14.3" TargetMode="External"/><Relationship Id="rId7" Type="http://schemas.openxmlformats.org/officeDocument/2006/relationships/hyperlink" Target="http://dk16.dovidnyk.info/index.php?rozd=21201" TargetMode="External"/><Relationship Id="rId12" Type="http://schemas.openxmlformats.org/officeDocument/2006/relationships/hyperlink" Target="http://dk16.dovidnyk.info/index.php?rozd=16953" TargetMode="External"/><Relationship Id="rId17" Type="http://schemas.openxmlformats.org/officeDocument/2006/relationships/hyperlink" Target="http://dk16.dovidnyk.info/index.php?rozd=19647" TargetMode="External"/><Relationship Id="rId25" Type="http://schemas.openxmlformats.org/officeDocument/2006/relationships/hyperlink" Target="http://dk16.dovidnyk.info/index.php?rozd=20630" TargetMode="External"/><Relationship Id="rId33" Type="http://schemas.openxmlformats.org/officeDocument/2006/relationships/hyperlink" Target="http://dkpp.rv.ua/index.php?level=10.51.1" TargetMode="External"/><Relationship Id="rId38" Type="http://schemas.openxmlformats.org/officeDocument/2006/relationships/hyperlink" Target="http://dkpp.rv.ua/index.php?level=26.20.1" TargetMode="External"/><Relationship Id="rId2" Type="http://schemas.openxmlformats.org/officeDocument/2006/relationships/hyperlink" Target="http://dk16.dovidnyk.info/index.php?rozd=16953" TargetMode="External"/><Relationship Id="rId16" Type="http://schemas.openxmlformats.org/officeDocument/2006/relationships/hyperlink" Target="http://dk16.dovidnyk.info/index.php?rozd=19647" TargetMode="External"/><Relationship Id="rId20" Type="http://schemas.openxmlformats.org/officeDocument/2006/relationships/hyperlink" Target="http://dk16.dovidnyk.info/index.php?rozd=16838" TargetMode="External"/><Relationship Id="rId29" Type="http://schemas.openxmlformats.org/officeDocument/2006/relationships/hyperlink" Target="http://dk16.dovidnyk.info/index.php?rozd=9872" TargetMode="External"/><Relationship Id="rId41" Type="http://schemas.openxmlformats.org/officeDocument/2006/relationships/hyperlink" Target="http://dkpp.rv.ua/index.php?level=20.13.5" TargetMode="External"/><Relationship Id="rId1" Type="http://schemas.openxmlformats.org/officeDocument/2006/relationships/hyperlink" Target="http://dk16.dovidnyk.info/index.php?rozd=16868" TargetMode="External"/><Relationship Id="rId6" Type="http://schemas.openxmlformats.org/officeDocument/2006/relationships/hyperlink" Target="http://dk16.dovidnyk.info/index.php?rozd=20759" TargetMode="External"/><Relationship Id="rId11" Type="http://schemas.openxmlformats.org/officeDocument/2006/relationships/hyperlink" Target="http://dk16.dovidnyk.info/index.php?rozd=20630" TargetMode="External"/><Relationship Id="rId24" Type="http://schemas.openxmlformats.org/officeDocument/2006/relationships/hyperlink" Target="http://dkpp.rv.ua/index.php?level=63.99.1" TargetMode="External"/><Relationship Id="rId32" Type="http://schemas.openxmlformats.org/officeDocument/2006/relationships/hyperlink" Target="http://dkpp.rv.ua/index.php?level=26.60.1" TargetMode="External"/><Relationship Id="rId37" Type="http://schemas.openxmlformats.org/officeDocument/2006/relationships/hyperlink" Target="http://dk16.dovidnyk.info/index.php?rozd=14751" TargetMode="External"/><Relationship Id="rId40" Type="http://schemas.openxmlformats.org/officeDocument/2006/relationships/hyperlink" Target="http://dkpp.rv.ua/index.php?level=20.13.2" TargetMode="External"/><Relationship Id="rId5" Type="http://schemas.openxmlformats.org/officeDocument/2006/relationships/hyperlink" Target="http://dk16.dovidnyk.info/index.php?rozd=21156" TargetMode="External"/><Relationship Id="rId15" Type="http://schemas.openxmlformats.org/officeDocument/2006/relationships/hyperlink" Target="http://dk16.dovidnyk.info/index.php?rozd=19868" TargetMode="External"/><Relationship Id="rId23" Type="http://schemas.openxmlformats.org/officeDocument/2006/relationships/hyperlink" Target="http://dkpp.rv.ua/index.php?level=62.01.11" TargetMode="External"/><Relationship Id="rId28" Type="http://schemas.openxmlformats.org/officeDocument/2006/relationships/hyperlink" Target="http://dkpp.rv.ua/index.php?level=32.50.5" TargetMode="External"/><Relationship Id="rId36" Type="http://schemas.openxmlformats.org/officeDocument/2006/relationships/hyperlink" Target="http://dkpp.rv.ua/index.php?level=80.20.1" TargetMode="External"/><Relationship Id="rId10" Type="http://schemas.openxmlformats.org/officeDocument/2006/relationships/hyperlink" Target="http://dk16.dovidnyk.info/index.php?rozd=16868" TargetMode="External"/><Relationship Id="rId19" Type="http://schemas.openxmlformats.org/officeDocument/2006/relationships/hyperlink" Target="http://dk16.dovidnyk.info/index.php?rozd=19660" TargetMode="External"/><Relationship Id="rId31" Type="http://schemas.openxmlformats.org/officeDocument/2006/relationships/hyperlink" Target="http://dkpp.rv.ua/index.php?level=17.12.7" TargetMode="External"/><Relationship Id="rId4" Type="http://schemas.openxmlformats.org/officeDocument/2006/relationships/hyperlink" Target="http://dk16.dovidnyk.info/index.php?rozd=19731" TargetMode="External"/><Relationship Id="rId9" Type="http://schemas.openxmlformats.org/officeDocument/2006/relationships/hyperlink" Target="http://dk16.dovidnyk.info/index.php?rozd=19816" TargetMode="External"/><Relationship Id="rId14" Type="http://schemas.openxmlformats.org/officeDocument/2006/relationships/hyperlink" Target="http://dk16.dovidnyk.info/index.php?rozd=9694" TargetMode="External"/><Relationship Id="rId22" Type="http://schemas.openxmlformats.org/officeDocument/2006/relationships/hyperlink" Target="http://dk16.dovidnyk.info/index.php?rozd=19753" TargetMode="External"/><Relationship Id="rId27" Type="http://schemas.openxmlformats.org/officeDocument/2006/relationships/hyperlink" Target="http://dkpp.rv.ua/index.php?level=86.10.1" TargetMode="External"/><Relationship Id="rId30" Type="http://schemas.openxmlformats.org/officeDocument/2006/relationships/hyperlink" Target="http://dk16.dovidnyk.info/index.php?rozd=9694" TargetMode="External"/><Relationship Id="rId35" Type="http://schemas.openxmlformats.org/officeDocument/2006/relationships/hyperlink" Target="http://dkpp.rv.ua/index.php?level=38.11.2" TargetMode="External"/><Relationship Id="rId43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36"/>
  <sheetViews>
    <sheetView tabSelected="1" view="pageBreakPreview" topLeftCell="A53" zoomScale="115" zoomScaleNormal="100" zoomScaleSheetLayoutView="115" workbookViewId="0">
      <selection activeCell="B69" sqref="B69"/>
    </sheetView>
  </sheetViews>
  <sheetFormatPr defaultColWidth="15.5703125" defaultRowHeight="38.25" customHeight="1" x14ac:dyDescent="0.2"/>
  <cols>
    <col min="1" max="1" width="2.28515625" style="5" customWidth="1"/>
    <col min="2" max="2" width="36.85546875" style="5" customWidth="1"/>
    <col min="3" max="3" width="8.7109375" style="5" customWidth="1"/>
    <col min="4" max="4" width="9.28515625" style="5" customWidth="1"/>
    <col min="5" max="5" width="11.42578125" style="5" hidden="1" customWidth="1"/>
    <col min="6" max="6" width="12.42578125" style="5" hidden="1" customWidth="1"/>
    <col min="7" max="7" width="10.5703125" style="5" hidden="1" customWidth="1"/>
    <col min="8" max="8" width="5.5703125" style="5" hidden="1" customWidth="1"/>
    <col min="9" max="9" width="10.7109375" style="5" hidden="1" customWidth="1"/>
    <col min="10" max="10" width="9.28515625" style="5" hidden="1" customWidth="1"/>
    <col min="11" max="11" width="9.42578125" style="5" hidden="1" customWidth="1"/>
    <col min="12" max="12" width="11.28515625" style="5" hidden="1" customWidth="1"/>
    <col min="13" max="13" width="9.5703125" style="5" hidden="1" customWidth="1"/>
    <col min="14" max="14" width="9.28515625" style="5" hidden="1" customWidth="1"/>
    <col min="15" max="15" width="8.7109375" style="5" hidden="1" customWidth="1"/>
    <col min="16" max="16" width="13.42578125" style="5" hidden="1" customWidth="1"/>
    <col min="17" max="17" width="13.7109375" style="5" hidden="1" customWidth="1"/>
    <col min="18" max="18" width="8" style="5" hidden="1" customWidth="1"/>
    <col min="19" max="19" width="11.7109375" style="5" hidden="1" customWidth="1"/>
    <col min="20" max="25" width="15.5703125" style="5" hidden="1" customWidth="1"/>
    <col min="26" max="27" width="11.85546875" style="5" hidden="1" customWidth="1"/>
    <col min="28" max="28" width="10.7109375" style="5" hidden="1" customWidth="1"/>
    <col min="29" max="29" width="12" style="5" hidden="1" customWidth="1"/>
    <col min="30" max="31" width="11.85546875" style="5" hidden="1" customWidth="1"/>
    <col min="32" max="32" width="0.28515625" style="5" hidden="1" customWidth="1"/>
    <col min="33" max="33" width="15.85546875" style="5" customWidth="1"/>
    <col min="34" max="34" width="11.7109375" style="5" customWidth="1"/>
    <col min="35" max="35" width="14.140625" style="5" customWidth="1"/>
    <col min="36" max="36" width="15.140625" style="5" customWidth="1"/>
    <col min="37" max="37" width="18.85546875" style="5" customWidth="1"/>
    <col min="38" max="39" width="12" style="5" customWidth="1"/>
    <col min="40" max="16384" width="15.5703125" style="5"/>
  </cols>
  <sheetData>
    <row r="1" spans="1:39" s="1" customFormat="1" ht="33.6" customHeight="1" x14ac:dyDescent="0.25">
      <c r="A1" s="136" t="s">
        <v>734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</row>
    <row r="2" spans="1:39" s="1" customFormat="1" ht="15.6" customHeight="1" x14ac:dyDescent="0.25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</row>
    <row r="3" spans="1:39" s="1" customFormat="1" ht="53.45" customHeight="1" thickBot="1" x14ac:dyDescent="0.3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</row>
    <row r="4" spans="1:39" s="2" customFormat="1" ht="38.25" customHeight="1" x14ac:dyDescent="0.2">
      <c r="B4" s="137" t="s">
        <v>3</v>
      </c>
      <c r="C4" s="128"/>
      <c r="D4" s="128" t="s">
        <v>217</v>
      </c>
      <c r="E4" s="128" t="s">
        <v>5</v>
      </c>
      <c r="F4" s="128"/>
      <c r="G4" s="124" t="s">
        <v>6</v>
      </c>
      <c r="H4" s="128" t="s">
        <v>7</v>
      </c>
      <c r="I4" s="128" t="s">
        <v>8</v>
      </c>
      <c r="J4" s="128" t="s">
        <v>9</v>
      </c>
      <c r="K4" s="128" t="s">
        <v>10</v>
      </c>
      <c r="L4" s="128" t="s">
        <v>11</v>
      </c>
      <c r="M4" s="128" t="s">
        <v>12</v>
      </c>
      <c r="N4" s="128" t="s">
        <v>13</v>
      </c>
      <c r="O4" s="128" t="s">
        <v>14</v>
      </c>
      <c r="P4" s="128" t="s">
        <v>15</v>
      </c>
      <c r="Q4" s="128" t="s">
        <v>16</v>
      </c>
      <c r="R4" s="128" t="s">
        <v>17</v>
      </c>
      <c r="S4" s="128" t="s">
        <v>18</v>
      </c>
      <c r="T4" s="128" t="s">
        <v>19</v>
      </c>
      <c r="U4" s="128" t="s">
        <v>20</v>
      </c>
      <c r="V4" s="128" t="s">
        <v>21</v>
      </c>
      <c r="W4" s="128" t="s">
        <v>22</v>
      </c>
      <c r="X4" s="128" t="s">
        <v>23</v>
      </c>
      <c r="Y4" s="128" t="s">
        <v>24</v>
      </c>
      <c r="Z4" s="128" t="s">
        <v>25</v>
      </c>
      <c r="AA4" s="128" t="s">
        <v>26</v>
      </c>
      <c r="AB4" s="128" t="s">
        <v>27</v>
      </c>
      <c r="AC4" s="128" t="s">
        <v>28</v>
      </c>
      <c r="AD4" s="128" t="s">
        <v>29</v>
      </c>
      <c r="AE4" s="128" t="s">
        <v>30</v>
      </c>
      <c r="AF4" s="128" t="s">
        <v>31</v>
      </c>
      <c r="AG4" s="124" t="s">
        <v>6</v>
      </c>
      <c r="AH4" s="124" t="s">
        <v>33</v>
      </c>
      <c r="AI4" s="124" t="s">
        <v>34</v>
      </c>
      <c r="AJ4" s="126" t="s">
        <v>7</v>
      </c>
    </row>
    <row r="5" spans="1:39" s="2" customFormat="1" ht="67.900000000000006" customHeight="1" x14ac:dyDescent="0.2">
      <c r="B5" s="133"/>
      <c r="C5" s="129"/>
      <c r="D5" s="129"/>
      <c r="E5" s="93" t="s">
        <v>35</v>
      </c>
      <c r="F5" s="97" t="s">
        <v>36</v>
      </c>
      <c r="G5" s="125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5"/>
      <c r="AH5" s="125"/>
      <c r="AI5" s="125"/>
      <c r="AJ5" s="127"/>
      <c r="AM5" s="130"/>
    </row>
    <row r="6" spans="1:39" ht="21.75" customHeight="1" x14ac:dyDescent="0.2">
      <c r="B6" s="131">
        <v>1</v>
      </c>
      <c r="C6" s="132"/>
      <c r="D6" s="96">
        <v>2</v>
      </c>
      <c r="E6" s="96">
        <v>4</v>
      </c>
      <c r="F6" s="96">
        <v>5</v>
      </c>
      <c r="G6" s="96">
        <v>6</v>
      </c>
      <c r="H6" s="96">
        <v>7</v>
      </c>
      <c r="I6" s="7"/>
      <c r="J6" s="7"/>
      <c r="K6" s="7"/>
      <c r="L6" s="8"/>
      <c r="M6" s="8"/>
      <c r="N6" s="8"/>
      <c r="O6" s="8"/>
      <c r="P6" s="8"/>
      <c r="Q6" s="8"/>
      <c r="R6" s="8"/>
      <c r="S6" s="8"/>
      <c r="T6" s="9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96">
        <v>3</v>
      </c>
      <c r="AH6" s="96">
        <v>4</v>
      </c>
      <c r="AI6" s="96">
        <v>5</v>
      </c>
      <c r="AJ6" s="10">
        <v>6</v>
      </c>
      <c r="AM6" s="130"/>
    </row>
    <row r="7" spans="1:39" ht="15.75" x14ac:dyDescent="0.2">
      <c r="B7" s="133" t="s">
        <v>37</v>
      </c>
      <c r="C7" s="129"/>
      <c r="D7" s="129"/>
      <c r="E7" s="129"/>
      <c r="F7" s="129"/>
      <c r="G7" s="129"/>
      <c r="H7" s="129"/>
      <c r="I7" s="7"/>
      <c r="J7" s="7"/>
      <c r="K7" s="7"/>
      <c r="L7" s="8"/>
      <c r="M7" s="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9"/>
      <c r="AH7" s="9"/>
      <c r="AI7" s="9"/>
      <c r="AJ7" s="11"/>
      <c r="AM7" s="2"/>
    </row>
    <row r="8" spans="1:39" ht="78.75" hidden="1" x14ac:dyDescent="0.2">
      <c r="B8" s="13" t="s">
        <v>218</v>
      </c>
      <c r="C8" s="7" t="s">
        <v>219</v>
      </c>
      <c r="D8" s="21">
        <v>2210</v>
      </c>
      <c r="E8" s="97"/>
      <c r="F8" s="97"/>
      <c r="G8" s="97"/>
      <c r="H8" s="97"/>
      <c r="I8" s="7"/>
      <c r="J8" s="7"/>
      <c r="K8" s="7"/>
      <c r="L8" s="8"/>
      <c r="M8" s="8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>
        <v>38.729999999999997</v>
      </c>
      <c r="AB8" s="7"/>
      <c r="AC8" s="7"/>
      <c r="AD8" s="7"/>
      <c r="AE8" s="7"/>
      <c r="AF8" s="7"/>
      <c r="AG8" s="7"/>
      <c r="AH8" s="9"/>
      <c r="AI8" s="9"/>
      <c r="AJ8" s="58"/>
      <c r="AM8" s="2"/>
    </row>
    <row r="9" spans="1:39" ht="47.25" hidden="1" x14ac:dyDescent="0.2">
      <c r="B9" s="13" t="s">
        <v>220</v>
      </c>
      <c r="C9" s="7" t="s">
        <v>221</v>
      </c>
      <c r="D9" s="21">
        <v>2210</v>
      </c>
      <c r="E9" s="97"/>
      <c r="F9" s="97"/>
      <c r="G9" s="97"/>
      <c r="H9" s="97"/>
      <c r="I9" s="7"/>
      <c r="J9" s="7"/>
      <c r="K9" s="7"/>
      <c r="L9" s="8"/>
      <c r="M9" s="8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>
        <v>39.64</v>
      </c>
      <c r="AB9" s="7"/>
      <c r="AC9" s="7"/>
      <c r="AD9" s="7"/>
      <c r="AE9" s="7"/>
      <c r="AF9" s="7"/>
      <c r="AG9" s="7"/>
      <c r="AH9" s="9"/>
      <c r="AI9" s="9"/>
      <c r="AJ9" s="58"/>
    </row>
    <row r="10" spans="1:39" ht="47.25" hidden="1" x14ac:dyDescent="0.2">
      <c r="B10" s="13" t="s">
        <v>227</v>
      </c>
      <c r="C10" s="15" t="s">
        <v>228</v>
      </c>
      <c r="D10" s="21">
        <v>2210</v>
      </c>
      <c r="E10" s="7"/>
      <c r="F10" s="59"/>
      <c r="G10" s="7">
        <f t="shared" ref="G10:G32" si="0">E10+F10</f>
        <v>0</v>
      </c>
      <c r="H10" s="33"/>
      <c r="I10" s="60"/>
      <c r="J10" s="7"/>
      <c r="K10" s="7"/>
      <c r="L10" s="8"/>
      <c r="M10" s="7"/>
      <c r="N10" s="7"/>
      <c r="O10" s="7"/>
      <c r="P10" s="7"/>
      <c r="Q10" s="7"/>
      <c r="R10" s="7"/>
      <c r="S10" s="20" t="s">
        <v>229</v>
      </c>
      <c r="T10" s="7"/>
      <c r="U10" s="7"/>
      <c r="V10" s="7"/>
      <c r="W10" s="7"/>
      <c r="X10" s="7"/>
      <c r="Y10" s="7"/>
      <c r="Z10" s="7"/>
      <c r="AA10" s="7">
        <v>110.5</v>
      </c>
      <c r="AB10" s="7"/>
      <c r="AC10" s="7"/>
      <c r="AD10" s="7"/>
      <c r="AE10" s="7"/>
      <c r="AF10" s="7"/>
      <c r="AG10" s="7"/>
      <c r="AH10" s="7"/>
      <c r="AI10" s="7"/>
      <c r="AJ10" s="58"/>
    </row>
    <row r="11" spans="1:39" ht="33" hidden="1" x14ac:dyDescent="0.2">
      <c r="B11" s="13" t="s">
        <v>230</v>
      </c>
      <c r="C11" s="15" t="s">
        <v>231</v>
      </c>
      <c r="D11" s="21">
        <v>2210</v>
      </c>
      <c r="E11" s="7"/>
      <c r="F11" s="59"/>
      <c r="G11" s="7">
        <f>E11+F11</f>
        <v>0</v>
      </c>
      <c r="H11" s="33"/>
      <c r="I11" s="60"/>
      <c r="J11" s="7"/>
      <c r="K11" s="7"/>
      <c r="L11" s="8"/>
      <c r="M11" s="7"/>
      <c r="N11" s="7"/>
      <c r="O11" s="7"/>
      <c r="P11" s="7"/>
      <c r="Q11" s="7"/>
      <c r="R11" s="7"/>
      <c r="S11" s="20" t="s">
        <v>232</v>
      </c>
      <c r="T11" s="7"/>
      <c r="U11" s="7"/>
      <c r="V11" s="7"/>
      <c r="W11" s="7"/>
      <c r="X11" s="7"/>
      <c r="Y11" s="7"/>
      <c r="Z11" s="7"/>
      <c r="AA11" s="7">
        <v>137.5</v>
      </c>
      <c r="AB11" s="7"/>
      <c r="AC11" s="7"/>
      <c r="AD11" s="7"/>
      <c r="AE11" s="7"/>
      <c r="AF11" s="7"/>
      <c r="AG11" s="7"/>
      <c r="AH11" s="7"/>
      <c r="AI11" s="7"/>
      <c r="AJ11" s="58"/>
    </row>
    <row r="12" spans="1:39" ht="47.25" hidden="1" x14ac:dyDescent="0.2">
      <c r="B12" s="13" t="s">
        <v>233</v>
      </c>
      <c r="C12" s="15" t="s">
        <v>234</v>
      </c>
      <c r="D12" s="21">
        <v>2210</v>
      </c>
      <c r="E12" s="7"/>
      <c r="F12" s="59"/>
      <c r="G12" s="7"/>
      <c r="H12" s="33"/>
      <c r="I12" s="60"/>
      <c r="J12" s="7"/>
      <c r="K12" s="7"/>
      <c r="L12" s="8"/>
      <c r="M12" s="7"/>
      <c r="N12" s="7"/>
      <c r="O12" s="7"/>
      <c r="P12" s="7"/>
      <c r="Q12" s="7"/>
      <c r="R12" s="7"/>
      <c r="S12" s="20"/>
      <c r="T12" s="7"/>
      <c r="U12" s="7"/>
      <c r="V12" s="7"/>
      <c r="W12" s="7"/>
      <c r="X12" s="7"/>
      <c r="Y12" s="7"/>
      <c r="Z12" s="7"/>
      <c r="AA12" s="7">
        <v>11.5</v>
      </c>
      <c r="AB12" s="7"/>
      <c r="AC12" s="7"/>
      <c r="AD12" s="7"/>
      <c r="AE12" s="7"/>
      <c r="AF12" s="7"/>
      <c r="AG12" s="7"/>
      <c r="AH12" s="7"/>
      <c r="AI12" s="7"/>
      <c r="AJ12" s="58"/>
    </row>
    <row r="13" spans="1:39" ht="66" hidden="1" x14ac:dyDescent="0.2">
      <c r="B13" s="19" t="s">
        <v>235</v>
      </c>
      <c r="C13" s="15" t="s">
        <v>236</v>
      </c>
      <c r="D13" s="21">
        <v>2210</v>
      </c>
      <c r="E13" s="7"/>
      <c r="F13" s="59"/>
      <c r="G13" s="7">
        <f t="shared" si="0"/>
        <v>0</v>
      </c>
      <c r="H13" s="33"/>
      <c r="I13" s="60"/>
      <c r="J13" s="7"/>
      <c r="K13" s="7"/>
      <c r="L13" s="8"/>
      <c r="M13" s="7"/>
      <c r="N13" s="7"/>
      <c r="O13" s="7"/>
      <c r="P13" s="7"/>
      <c r="Q13" s="7"/>
      <c r="R13" s="7"/>
      <c r="S13" s="20" t="s">
        <v>237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58"/>
    </row>
    <row r="14" spans="1:39" ht="82.5" hidden="1" x14ac:dyDescent="0.2">
      <c r="B14" s="19" t="s">
        <v>238</v>
      </c>
      <c r="C14" s="15" t="s">
        <v>239</v>
      </c>
      <c r="D14" s="21">
        <v>2210</v>
      </c>
      <c r="E14" s="7"/>
      <c r="F14" s="59"/>
      <c r="G14" s="7">
        <f t="shared" si="0"/>
        <v>0</v>
      </c>
      <c r="H14" s="33"/>
      <c r="I14" s="60"/>
      <c r="J14" s="7"/>
      <c r="K14" s="7"/>
      <c r="L14" s="8"/>
      <c r="M14" s="7"/>
      <c r="N14" s="7"/>
      <c r="O14" s="7"/>
      <c r="P14" s="7"/>
      <c r="Q14" s="7"/>
      <c r="R14" s="7"/>
      <c r="S14" s="20" t="s">
        <v>240</v>
      </c>
      <c r="T14" s="7"/>
      <c r="U14" s="7"/>
      <c r="V14" s="7"/>
      <c r="W14" s="7"/>
      <c r="X14" s="7"/>
      <c r="Y14" s="7"/>
      <c r="Z14" s="7"/>
      <c r="AA14" s="7">
        <v>39.299999999999997</v>
      </c>
      <c r="AB14" s="7"/>
      <c r="AC14" s="7"/>
      <c r="AD14" s="7"/>
      <c r="AE14" s="7"/>
      <c r="AF14" s="7"/>
      <c r="AG14" s="7"/>
      <c r="AH14" s="7"/>
      <c r="AI14" s="7"/>
      <c r="AJ14" s="58"/>
    </row>
    <row r="15" spans="1:39" ht="78.75" x14ac:dyDescent="0.2">
      <c r="B15" s="13" t="s">
        <v>43</v>
      </c>
      <c r="C15" s="59" t="s">
        <v>44</v>
      </c>
      <c r="D15" s="21">
        <v>2210</v>
      </c>
      <c r="E15" s="7"/>
      <c r="F15" s="59"/>
      <c r="G15" s="7">
        <f t="shared" si="0"/>
        <v>0</v>
      </c>
      <c r="H15" s="33"/>
      <c r="I15" s="60"/>
      <c r="J15" s="7"/>
      <c r="K15" s="7"/>
      <c r="L15" s="8"/>
      <c r="M15" s="7">
        <v>800</v>
      </c>
      <c r="N15" s="7">
        <v>388</v>
      </c>
      <c r="O15" s="7"/>
      <c r="P15" s="20" t="s">
        <v>241</v>
      </c>
      <c r="Q15" s="7">
        <v>99</v>
      </c>
      <c r="R15" s="7">
        <v>3400</v>
      </c>
      <c r="S15" s="7"/>
      <c r="T15" s="7"/>
      <c r="U15" s="7"/>
      <c r="V15" s="7"/>
      <c r="W15" s="7"/>
      <c r="X15" s="7"/>
      <c r="Y15" s="7">
        <v>3000</v>
      </c>
      <c r="Z15" s="7"/>
      <c r="AA15" s="7"/>
      <c r="AB15" s="7"/>
      <c r="AC15" s="7"/>
      <c r="AD15" s="7"/>
      <c r="AE15" s="7"/>
      <c r="AF15" s="7"/>
      <c r="AG15" s="7" t="s">
        <v>547</v>
      </c>
      <c r="AH15" s="7"/>
      <c r="AI15" s="7"/>
      <c r="AJ15" s="58"/>
    </row>
    <row r="16" spans="1:39" ht="31.5" hidden="1" x14ac:dyDescent="0.2">
      <c r="A16" s="5">
        <v>100</v>
      </c>
      <c r="B16" s="13" t="s">
        <v>242</v>
      </c>
      <c r="C16" s="59" t="s">
        <v>243</v>
      </c>
      <c r="D16" s="21">
        <v>2210</v>
      </c>
      <c r="E16" s="7"/>
      <c r="F16" s="59"/>
      <c r="G16" s="7"/>
      <c r="H16" s="33"/>
      <c r="I16" s="60"/>
      <c r="J16" s="7"/>
      <c r="K16" s="7"/>
      <c r="L16" s="8"/>
      <c r="M16" s="7"/>
      <c r="N16" s="7"/>
      <c r="O16" s="7"/>
      <c r="P16" s="20"/>
      <c r="Q16" s="7"/>
      <c r="R16" s="7"/>
      <c r="S16" s="7"/>
      <c r="T16" s="7"/>
      <c r="U16" s="7"/>
      <c r="V16" s="7"/>
      <c r="W16" s="7"/>
      <c r="X16" s="7"/>
      <c r="Y16" s="7"/>
      <c r="Z16" s="7"/>
      <c r="AA16" s="7">
        <v>20.75</v>
      </c>
      <c r="AB16" s="7"/>
      <c r="AC16" s="7"/>
      <c r="AD16" s="7"/>
      <c r="AE16" s="7"/>
      <c r="AF16" s="7"/>
      <c r="AG16" s="7"/>
      <c r="AH16" s="7"/>
      <c r="AI16" s="7"/>
      <c r="AJ16" s="58"/>
    </row>
    <row r="17" spans="2:37" ht="184.5" customHeight="1" x14ac:dyDescent="0.2">
      <c r="B17" s="13" t="s">
        <v>46</v>
      </c>
      <c r="C17" s="7" t="s">
        <v>47</v>
      </c>
      <c r="D17" s="21">
        <v>2210</v>
      </c>
      <c r="E17" s="7">
        <v>2000</v>
      </c>
      <c r="F17" s="7">
        <v>16700</v>
      </c>
      <c r="G17" s="7">
        <f t="shared" si="0"/>
        <v>18700</v>
      </c>
      <c r="H17" s="8"/>
      <c r="I17" s="7"/>
      <c r="J17" s="7"/>
      <c r="K17" s="7"/>
      <c r="L17" s="8"/>
      <c r="M17" s="8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 t="s">
        <v>584</v>
      </c>
      <c r="AH17" s="7"/>
      <c r="AI17" s="7"/>
      <c r="AJ17" s="58" t="s">
        <v>574</v>
      </c>
    </row>
    <row r="18" spans="2:37" ht="93" customHeight="1" x14ac:dyDescent="0.2">
      <c r="B18" s="13" t="s">
        <v>244</v>
      </c>
      <c r="C18" s="7" t="s">
        <v>245</v>
      </c>
      <c r="D18" s="21">
        <v>2210</v>
      </c>
      <c r="E18" s="7"/>
      <c r="F18" s="59"/>
      <c r="G18" s="7">
        <f t="shared" si="0"/>
        <v>0</v>
      </c>
      <c r="H18" s="33"/>
      <c r="I18" s="7"/>
      <c r="J18" s="7"/>
      <c r="K18" s="7">
        <v>1000</v>
      </c>
      <c r="L18" s="8"/>
      <c r="M18" s="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 t="s">
        <v>545</v>
      </c>
      <c r="AH18" s="7"/>
      <c r="AI18" s="7"/>
      <c r="AJ18" s="58" t="s">
        <v>583</v>
      </c>
    </row>
    <row r="19" spans="2:37" ht="67.5" customHeight="1" x14ac:dyDescent="0.2">
      <c r="B19" s="13" t="s">
        <v>38</v>
      </c>
      <c r="C19" s="7" t="s">
        <v>39</v>
      </c>
      <c r="D19" s="21">
        <v>2210</v>
      </c>
      <c r="E19" s="7">
        <v>5000</v>
      </c>
      <c r="F19" s="7">
        <v>54000</v>
      </c>
      <c r="G19" s="7">
        <f t="shared" si="0"/>
        <v>59000</v>
      </c>
      <c r="H19" s="8"/>
      <c r="I19" s="7"/>
      <c r="J19" s="7"/>
      <c r="K19" s="7"/>
      <c r="L19" s="8"/>
      <c r="M19" s="8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 t="s">
        <v>546</v>
      </c>
      <c r="AH19" s="7"/>
      <c r="AI19" s="7"/>
      <c r="AJ19" s="58" t="s">
        <v>565</v>
      </c>
    </row>
    <row r="20" spans="2:37" ht="63" x14ac:dyDescent="0.2">
      <c r="B20" s="13" t="s">
        <v>246</v>
      </c>
      <c r="C20" s="59" t="s">
        <v>247</v>
      </c>
      <c r="D20" s="21">
        <v>2210</v>
      </c>
      <c r="E20" s="7"/>
      <c r="F20" s="7">
        <v>200</v>
      </c>
      <c r="G20" s="7">
        <f t="shared" si="0"/>
        <v>200</v>
      </c>
      <c r="H20" s="8"/>
      <c r="I20" s="7"/>
      <c r="J20" s="7"/>
      <c r="K20" s="7"/>
      <c r="L20" s="8"/>
      <c r="M20" s="8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 t="s">
        <v>550</v>
      </c>
      <c r="AH20" s="7"/>
      <c r="AI20" s="7"/>
      <c r="AJ20" s="58" t="s">
        <v>40</v>
      </c>
    </row>
    <row r="21" spans="2:37" ht="47.25" hidden="1" x14ac:dyDescent="0.2">
      <c r="B21" s="13" t="s">
        <v>65</v>
      </c>
      <c r="C21" s="59" t="s">
        <v>248</v>
      </c>
      <c r="D21" s="21">
        <v>2210</v>
      </c>
      <c r="E21" s="7"/>
      <c r="F21" s="59"/>
      <c r="G21" s="7">
        <f t="shared" si="0"/>
        <v>0</v>
      </c>
      <c r="H21" s="33"/>
      <c r="I21" s="60"/>
      <c r="J21" s="7"/>
      <c r="K21" s="7"/>
      <c r="L21" s="8"/>
      <c r="M21" s="7">
        <v>135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58"/>
    </row>
    <row r="22" spans="2:37" ht="78.75" x14ac:dyDescent="0.2">
      <c r="B22" s="13" t="s">
        <v>41</v>
      </c>
      <c r="C22" s="7" t="s">
        <v>249</v>
      </c>
      <c r="D22" s="21">
        <v>2210</v>
      </c>
      <c r="E22" s="7"/>
      <c r="F22" s="7">
        <v>10000</v>
      </c>
      <c r="G22" s="7">
        <f t="shared" si="0"/>
        <v>10000</v>
      </c>
      <c r="H22" s="8"/>
      <c r="I22" s="7"/>
      <c r="J22" s="7"/>
      <c r="K22" s="7"/>
      <c r="L22" s="8"/>
      <c r="M22" s="8"/>
      <c r="N22" s="7"/>
      <c r="O22" s="7"/>
      <c r="P22" s="7"/>
      <c r="Q22" s="7"/>
      <c r="R22" s="7"/>
      <c r="S22" s="7">
        <v>2341</v>
      </c>
      <c r="T22" s="7">
        <v>13920</v>
      </c>
      <c r="U22" s="7"/>
      <c r="V22" s="7"/>
      <c r="W22" s="7"/>
      <c r="X22" s="7"/>
      <c r="Y22" s="7"/>
      <c r="Z22" s="7">
        <v>8800</v>
      </c>
      <c r="AA22" s="7"/>
      <c r="AB22" s="7"/>
      <c r="AC22" s="7"/>
      <c r="AD22" s="7"/>
      <c r="AE22" s="7"/>
      <c r="AF22" s="7"/>
      <c r="AG22" s="7" t="s">
        <v>548</v>
      </c>
      <c r="AH22" s="7"/>
      <c r="AI22" s="7"/>
      <c r="AJ22" s="58" t="s">
        <v>564</v>
      </c>
    </row>
    <row r="23" spans="2:37" ht="31.5" hidden="1" x14ac:dyDescent="0.2">
      <c r="B23" s="13" t="s">
        <v>67</v>
      </c>
      <c r="C23" s="21" t="s">
        <v>68</v>
      </c>
      <c r="D23" s="21">
        <v>2210</v>
      </c>
      <c r="E23" s="7"/>
      <c r="F23" s="59"/>
      <c r="G23" s="7">
        <f t="shared" si="0"/>
        <v>0</v>
      </c>
      <c r="H23" s="93"/>
      <c r="I23" s="60"/>
      <c r="J23" s="7"/>
      <c r="K23" s="7"/>
      <c r="L23" s="8"/>
      <c r="M23" s="7">
        <v>140</v>
      </c>
      <c r="N23" s="7">
        <v>213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58"/>
    </row>
    <row r="24" spans="2:37" s="12" customFormat="1" ht="63" x14ac:dyDescent="0.25">
      <c r="B24" s="13" t="s">
        <v>49</v>
      </c>
      <c r="C24" s="7" t="s">
        <v>50</v>
      </c>
      <c r="D24" s="21">
        <v>2210</v>
      </c>
      <c r="E24" s="14"/>
      <c r="F24" s="14"/>
      <c r="G24" s="14">
        <v>0</v>
      </c>
      <c r="H24" s="14"/>
      <c r="I24" s="14"/>
      <c r="J24" s="14">
        <f>1020*0.1</f>
        <v>102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4" t="s">
        <v>549</v>
      </c>
      <c r="AH24" s="14"/>
      <c r="AI24" s="58"/>
      <c r="AJ24" s="58"/>
    </row>
    <row r="25" spans="2:37" ht="47.25" x14ac:dyDescent="0.2">
      <c r="B25" s="13" t="s">
        <v>52</v>
      </c>
      <c r="C25" s="7" t="s">
        <v>53</v>
      </c>
      <c r="D25" s="21">
        <v>2210</v>
      </c>
      <c r="E25" s="7"/>
      <c r="F25" s="59"/>
      <c r="G25" s="7">
        <f t="shared" si="0"/>
        <v>0</v>
      </c>
      <c r="H25" s="33"/>
      <c r="I25" s="60"/>
      <c r="J25" s="7"/>
      <c r="K25" s="7"/>
      <c r="L25" s="8"/>
      <c r="M25" s="20" t="s">
        <v>250</v>
      </c>
      <c r="N25" s="7"/>
      <c r="O25" s="7"/>
      <c r="P25" s="7"/>
      <c r="Q25" s="7"/>
      <c r="R25" s="7"/>
      <c r="S25" s="7">
        <v>255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 t="s">
        <v>551</v>
      </c>
      <c r="AH25" s="7"/>
      <c r="AI25" s="7"/>
      <c r="AJ25" s="58"/>
    </row>
    <row r="26" spans="2:37" ht="31.5" hidden="1" x14ac:dyDescent="0.2">
      <c r="B26" s="13" t="s">
        <v>77</v>
      </c>
      <c r="C26" s="7" t="s">
        <v>78</v>
      </c>
      <c r="D26" s="21">
        <v>2210</v>
      </c>
      <c r="E26" s="59"/>
      <c r="F26" s="59"/>
      <c r="G26" s="7">
        <f t="shared" si="0"/>
        <v>0</v>
      </c>
      <c r="H26" s="33"/>
      <c r="I26" s="60"/>
      <c r="J26" s="7"/>
      <c r="K26" s="7"/>
      <c r="L26" s="8"/>
      <c r="M26" s="7">
        <f>396.5+1040</f>
        <v>1436.5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58"/>
    </row>
    <row r="27" spans="2:37" ht="15.75" hidden="1" x14ac:dyDescent="0.2">
      <c r="B27" s="13" t="s">
        <v>254</v>
      </c>
      <c r="C27" s="7" t="s">
        <v>255</v>
      </c>
      <c r="D27" s="21">
        <v>2210</v>
      </c>
      <c r="E27" s="59"/>
      <c r="F27" s="59"/>
      <c r="G27" s="7">
        <f t="shared" si="0"/>
        <v>0</v>
      </c>
      <c r="H27" s="33"/>
      <c r="I27" s="60"/>
      <c r="J27" s="7"/>
      <c r="K27" s="7"/>
      <c r="L27" s="8"/>
      <c r="M27" s="7">
        <f>500+806.4</f>
        <v>1306.4000000000001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58"/>
    </row>
    <row r="28" spans="2:37" ht="15.75" hidden="1" x14ac:dyDescent="0.2">
      <c r="B28" s="13" t="s">
        <v>256</v>
      </c>
      <c r="C28" s="7" t="s">
        <v>257</v>
      </c>
      <c r="D28" s="21">
        <v>2210</v>
      </c>
      <c r="E28" s="7"/>
      <c r="F28" s="7">
        <v>4000</v>
      </c>
      <c r="G28" s="7">
        <f t="shared" si="0"/>
        <v>4000</v>
      </c>
      <c r="H28" s="8"/>
      <c r="I28" s="7"/>
      <c r="J28" s="7"/>
      <c r="K28" s="7"/>
      <c r="L28" s="8"/>
      <c r="M28" s="8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58"/>
      <c r="AK28" s="2"/>
    </row>
    <row r="29" spans="2:37" ht="47.25" hidden="1" x14ac:dyDescent="0.2">
      <c r="B29" s="13" t="s">
        <v>258</v>
      </c>
      <c r="C29" s="7" t="s">
        <v>259</v>
      </c>
      <c r="D29" s="21">
        <v>2210</v>
      </c>
      <c r="E29" s="7"/>
      <c r="F29" s="7">
        <v>1400</v>
      </c>
      <c r="G29" s="7">
        <f t="shared" si="0"/>
        <v>1400</v>
      </c>
      <c r="H29" s="8"/>
      <c r="I29" s="8"/>
      <c r="J29" s="8"/>
      <c r="K29" s="8"/>
      <c r="L29" s="8"/>
      <c r="M29" s="8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>
        <v>75.05</v>
      </c>
      <c r="AB29" s="7"/>
      <c r="AC29" s="7"/>
      <c r="AD29" s="7"/>
      <c r="AE29" s="7"/>
      <c r="AF29" s="7"/>
      <c r="AG29" s="7"/>
      <c r="AH29" s="7"/>
      <c r="AI29" s="7"/>
      <c r="AJ29" s="58"/>
      <c r="AK29" s="2"/>
    </row>
    <row r="30" spans="2:37" ht="47.25" x14ac:dyDescent="0.2">
      <c r="B30" s="13" t="s">
        <v>260</v>
      </c>
      <c r="C30" s="7" t="s">
        <v>261</v>
      </c>
      <c r="D30" s="21">
        <v>2210</v>
      </c>
      <c r="E30" s="7">
        <v>2000</v>
      </c>
      <c r="F30" s="7">
        <v>3000</v>
      </c>
      <c r="G30" s="7">
        <f t="shared" si="0"/>
        <v>5000</v>
      </c>
      <c r="H30" s="8"/>
      <c r="I30" s="7"/>
      <c r="J30" s="7"/>
      <c r="K30" s="7"/>
      <c r="L30" s="8"/>
      <c r="M30" s="8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>
        <v>293</v>
      </c>
      <c r="AB30" s="7"/>
      <c r="AC30" s="7"/>
      <c r="AD30" s="7"/>
      <c r="AE30" s="7"/>
      <c r="AF30" s="7"/>
      <c r="AG30" s="7" t="s">
        <v>552</v>
      </c>
      <c r="AH30" s="7"/>
      <c r="AI30" s="7"/>
      <c r="AJ30" s="58" t="s">
        <v>559</v>
      </c>
      <c r="AK30" s="61"/>
    </row>
    <row r="31" spans="2:37" ht="16.5" hidden="1" x14ac:dyDescent="0.2">
      <c r="B31" s="13" t="s">
        <v>262</v>
      </c>
      <c r="C31" s="7" t="s">
        <v>263</v>
      </c>
      <c r="D31" s="15">
        <v>2210</v>
      </c>
      <c r="E31" s="7"/>
      <c r="F31" s="7"/>
      <c r="G31" s="7"/>
      <c r="H31" s="8"/>
      <c r="I31" s="7"/>
      <c r="J31" s="7"/>
      <c r="K31" s="7"/>
      <c r="L31" s="8"/>
      <c r="M31" s="8"/>
      <c r="N31" s="7"/>
      <c r="O31" s="7"/>
      <c r="P31" s="7"/>
      <c r="Q31" s="7"/>
      <c r="R31" s="7"/>
      <c r="S31" s="7"/>
      <c r="T31" s="7">
        <v>46.8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58"/>
      <c r="AK31" s="61"/>
    </row>
    <row r="32" spans="2:37" ht="63" x14ac:dyDescent="0.2">
      <c r="B32" s="13" t="s">
        <v>264</v>
      </c>
      <c r="C32" s="7" t="s">
        <v>265</v>
      </c>
      <c r="D32" s="21">
        <v>2210</v>
      </c>
      <c r="E32" s="7"/>
      <c r="F32" s="7">
        <v>500</v>
      </c>
      <c r="G32" s="7">
        <f t="shared" si="0"/>
        <v>500</v>
      </c>
      <c r="H32" s="8"/>
      <c r="I32" s="7"/>
      <c r="J32" s="7"/>
      <c r="K32" s="7"/>
      <c r="L32" s="8"/>
      <c r="M32" s="8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 t="s">
        <v>550</v>
      </c>
      <c r="AH32" s="7"/>
      <c r="AI32" s="7"/>
      <c r="AJ32" s="58" t="s">
        <v>40</v>
      </c>
    </row>
    <row r="33" spans="2:36" ht="33" hidden="1" x14ac:dyDescent="0.2">
      <c r="B33" s="19" t="s">
        <v>266</v>
      </c>
      <c r="C33" s="15" t="s">
        <v>267</v>
      </c>
      <c r="D33" s="21">
        <v>2210</v>
      </c>
      <c r="E33" s="7"/>
      <c r="F33" s="7"/>
      <c r="G33" s="7"/>
      <c r="H33" s="8"/>
      <c r="I33" s="7"/>
      <c r="J33" s="7"/>
      <c r="K33" s="7"/>
      <c r="L33" s="8"/>
      <c r="M33" s="8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62">
        <v>82</v>
      </c>
      <c r="AA33" s="7"/>
      <c r="AB33" s="7">
        <f>172</f>
        <v>172</v>
      </c>
      <c r="AC33" s="7"/>
      <c r="AD33" s="7"/>
      <c r="AE33" s="7"/>
      <c r="AF33" s="7"/>
      <c r="AG33" s="7"/>
      <c r="AH33" s="7"/>
      <c r="AI33" s="7"/>
      <c r="AJ33" s="58"/>
    </row>
    <row r="34" spans="2:36" ht="47.25" x14ac:dyDescent="0.2">
      <c r="B34" s="13" t="s">
        <v>537</v>
      </c>
      <c r="C34" s="7" t="s">
        <v>82</v>
      </c>
      <c r="D34" s="21">
        <v>2210</v>
      </c>
      <c r="E34" s="7"/>
      <c r="F34" s="59" t="s">
        <v>269</v>
      </c>
      <c r="G34" s="7">
        <v>830</v>
      </c>
      <c r="H34" s="33"/>
      <c r="I34" s="8"/>
      <c r="J34" s="8"/>
      <c r="K34" s="7">
        <v>880</v>
      </c>
      <c r="L34" s="8"/>
      <c r="M34" s="8"/>
      <c r="N34" s="7"/>
      <c r="O34" s="7"/>
      <c r="P34" s="7"/>
      <c r="Q34" s="7"/>
      <c r="R34" s="7"/>
      <c r="S34" s="7"/>
      <c r="T34" s="7"/>
      <c r="U34" s="7">
        <v>1169</v>
      </c>
      <c r="V34" s="7"/>
      <c r="W34" s="7">
        <v>4617</v>
      </c>
      <c r="X34" s="7"/>
      <c r="Y34" s="7"/>
      <c r="Z34" s="7"/>
      <c r="AA34" s="7"/>
      <c r="AB34" s="7"/>
      <c r="AC34" s="7"/>
      <c r="AD34" s="7"/>
      <c r="AE34" s="7"/>
      <c r="AF34" s="7"/>
      <c r="AG34" s="7" t="s">
        <v>553</v>
      </c>
      <c r="AH34" s="7"/>
      <c r="AI34" s="7"/>
      <c r="AJ34" s="58" t="s">
        <v>585</v>
      </c>
    </row>
    <row r="35" spans="2:36" ht="63" hidden="1" x14ac:dyDescent="0.2">
      <c r="B35" s="13" t="s">
        <v>91</v>
      </c>
      <c r="C35" s="7" t="s">
        <v>92</v>
      </c>
      <c r="D35" s="21">
        <v>2210</v>
      </c>
      <c r="E35" s="7"/>
      <c r="F35" s="59"/>
      <c r="G35" s="7"/>
      <c r="H35" s="33"/>
      <c r="I35" s="8"/>
      <c r="J35" s="8"/>
      <c r="K35" s="8"/>
      <c r="L35" s="8"/>
      <c r="M35" s="8"/>
      <c r="N35" s="7"/>
      <c r="O35" s="7">
        <v>131.04</v>
      </c>
      <c r="P35" s="7"/>
      <c r="Q35" s="7"/>
      <c r="R35" s="7"/>
      <c r="S35" s="63">
        <v>183.84</v>
      </c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58"/>
    </row>
    <row r="36" spans="2:36" ht="31.5" hidden="1" x14ac:dyDescent="0.2">
      <c r="B36" s="13" t="s">
        <v>538</v>
      </c>
      <c r="C36" s="7" t="s">
        <v>96</v>
      </c>
      <c r="D36" s="21">
        <v>2210</v>
      </c>
      <c r="E36" s="7"/>
      <c r="F36" s="8"/>
      <c r="G36" s="8"/>
      <c r="H36" s="33"/>
      <c r="I36" s="60">
        <v>1517</v>
      </c>
      <c r="J36" s="7"/>
      <c r="K36" s="7"/>
      <c r="L36" s="8"/>
      <c r="M36" s="8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58"/>
    </row>
    <row r="37" spans="2:36" ht="49.5" hidden="1" x14ac:dyDescent="0.2">
      <c r="B37" s="13" t="s">
        <v>271</v>
      </c>
      <c r="C37" s="15" t="s">
        <v>272</v>
      </c>
      <c r="D37" s="15">
        <v>2210</v>
      </c>
      <c r="E37" s="7"/>
      <c r="F37" s="8"/>
      <c r="G37" s="8"/>
      <c r="H37" s="33"/>
      <c r="I37" s="60"/>
      <c r="J37" s="7"/>
      <c r="K37" s="7"/>
      <c r="L37" s="8"/>
      <c r="M37" s="8"/>
      <c r="N37" s="7"/>
      <c r="O37" s="7"/>
      <c r="P37" s="7"/>
      <c r="Q37" s="7"/>
      <c r="R37" s="7"/>
      <c r="S37" s="7"/>
      <c r="T37" s="14">
        <v>7960</v>
      </c>
      <c r="U37" s="20"/>
      <c r="V37" s="20"/>
      <c r="W37" s="20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58"/>
    </row>
    <row r="38" spans="2:36" ht="78.75" hidden="1" x14ac:dyDescent="0.2">
      <c r="B38" s="13" t="s">
        <v>273</v>
      </c>
      <c r="C38" s="7" t="s">
        <v>274</v>
      </c>
      <c r="D38" s="15">
        <v>2210</v>
      </c>
      <c r="E38" s="7"/>
      <c r="F38" s="8"/>
      <c r="G38" s="8"/>
      <c r="H38" s="33"/>
      <c r="I38" s="60"/>
      <c r="J38" s="7"/>
      <c r="K38" s="7"/>
      <c r="L38" s="8"/>
      <c r="M38" s="8"/>
      <c r="N38" s="7"/>
      <c r="O38" s="7"/>
      <c r="P38" s="7"/>
      <c r="Q38" s="7"/>
      <c r="R38" s="7"/>
      <c r="S38" s="7"/>
      <c r="T38" s="14"/>
      <c r="U38" s="20"/>
      <c r="V38" s="20"/>
      <c r="W38" s="20"/>
      <c r="X38" s="7"/>
      <c r="Y38" s="7"/>
      <c r="Z38" s="7"/>
      <c r="AA38" s="7">
        <v>29.3</v>
      </c>
      <c r="AB38" s="7">
        <f>356+380</f>
        <v>736</v>
      </c>
      <c r="AC38" s="7"/>
      <c r="AD38" s="7"/>
      <c r="AE38" s="7"/>
      <c r="AF38" s="7"/>
      <c r="AG38" s="7"/>
      <c r="AH38" s="7"/>
      <c r="AI38" s="7"/>
      <c r="AJ38" s="58"/>
    </row>
    <row r="39" spans="2:36" ht="63" x14ac:dyDescent="0.2">
      <c r="B39" s="13" t="s">
        <v>275</v>
      </c>
      <c r="C39" s="7" t="s">
        <v>276</v>
      </c>
      <c r="D39" s="21">
        <v>2210</v>
      </c>
      <c r="E39" s="7"/>
      <c r="F39" s="8"/>
      <c r="G39" s="8"/>
      <c r="H39" s="33"/>
      <c r="I39" s="60"/>
      <c r="J39" s="7"/>
      <c r="K39" s="7"/>
      <c r="L39" s="8"/>
      <c r="M39" s="8"/>
      <c r="N39" s="7"/>
      <c r="O39" s="7">
        <v>100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62">
        <v>200</v>
      </c>
      <c r="AA39" s="7">
        <v>344.53</v>
      </c>
      <c r="AB39" s="7"/>
      <c r="AC39" s="7"/>
      <c r="AD39" s="7"/>
      <c r="AE39" s="7"/>
      <c r="AF39" s="7"/>
      <c r="AG39" s="7" t="s">
        <v>567</v>
      </c>
      <c r="AH39" s="7"/>
      <c r="AI39" s="7"/>
      <c r="AJ39" s="58" t="s">
        <v>566</v>
      </c>
    </row>
    <row r="40" spans="2:36" ht="47.25" hidden="1" x14ac:dyDescent="0.2">
      <c r="B40" s="13" t="s">
        <v>277</v>
      </c>
      <c r="C40" s="15" t="s">
        <v>278</v>
      </c>
      <c r="D40" s="21">
        <v>2210</v>
      </c>
      <c r="E40" s="7"/>
      <c r="F40" s="8"/>
      <c r="G40" s="8"/>
      <c r="H40" s="33"/>
      <c r="I40" s="60"/>
      <c r="J40" s="7"/>
      <c r="K40" s="7"/>
      <c r="L40" s="8"/>
      <c r="M40" s="8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62"/>
      <c r="AA40" s="7"/>
      <c r="AB40" s="7"/>
      <c r="AC40" s="7">
        <v>300</v>
      </c>
      <c r="AD40" s="7"/>
      <c r="AE40" s="7"/>
      <c r="AF40" s="7"/>
      <c r="AG40" s="7"/>
      <c r="AH40" s="7"/>
      <c r="AI40" s="7"/>
      <c r="AJ40" s="58"/>
    </row>
    <row r="41" spans="2:36" ht="47.25" hidden="1" x14ac:dyDescent="0.2">
      <c r="B41" s="13" t="s">
        <v>279</v>
      </c>
      <c r="C41" s="15" t="s">
        <v>280</v>
      </c>
      <c r="D41" s="15">
        <v>2210</v>
      </c>
      <c r="E41" s="7"/>
      <c r="F41" s="8"/>
      <c r="G41" s="8"/>
      <c r="H41" s="33"/>
      <c r="I41" s="60"/>
      <c r="J41" s="7"/>
      <c r="K41" s="7"/>
      <c r="L41" s="8"/>
      <c r="M41" s="8"/>
      <c r="N41" s="7"/>
      <c r="O41" s="7"/>
      <c r="P41" s="7"/>
      <c r="Q41" s="7"/>
      <c r="R41" s="7"/>
      <c r="S41" s="7"/>
      <c r="T41" s="7"/>
      <c r="U41" s="7">
        <v>1320.3</v>
      </c>
      <c r="V41" s="7"/>
      <c r="W41" s="7"/>
      <c r="X41" s="7"/>
      <c r="Y41" s="7">
        <v>1000</v>
      </c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58"/>
    </row>
    <row r="42" spans="2:36" ht="33" hidden="1" x14ac:dyDescent="0.2">
      <c r="B42" s="13" t="s">
        <v>281</v>
      </c>
      <c r="C42" s="15" t="s">
        <v>282</v>
      </c>
      <c r="D42" s="15">
        <v>2210</v>
      </c>
      <c r="E42" s="7"/>
      <c r="F42" s="59"/>
      <c r="G42" s="7"/>
      <c r="H42" s="33"/>
      <c r="I42" s="60"/>
      <c r="J42" s="7"/>
      <c r="K42" s="7"/>
      <c r="L42" s="60"/>
      <c r="M42" s="8"/>
      <c r="N42" s="7"/>
      <c r="O42" s="7"/>
      <c r="P42" s="7"/>
      <c r="Q42" s="7"/>
      <c r="R42" s="7"/>
      <c r="S42" s="20" t="s">
        <v>283</v>
      </c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58"/>
    </row>
    <row r="43" spans="2:36" ht="33" hidden="1" x14ac:dyDescent="0.2">
      <c r="B43" s="13" t="s">
        <v>284</v>
      </c>
      <c r="C43" s="15" t="s">
        <v>285</v>
      </c>
      <c r="D43" s="15">
        <v>2210</v>
      </c>
      <c r="E43" s="7"/>
      <c r="F43" s="59"/>
      <c r="G43" s="7"/>
      <c r="H43" s="33"/>
      <c r="I43" s="60"/>
      <c r="J43" s="7"/>
      <c r="K43" s="7"/>
      <c r="L43" s="60"/>
      <c r="M43" s="8"/>
      <c r="N43" s="7"/>
      <c r="O43" s="7"/>
      <c r="P43" s="7"/>
      <c r="Q43" s="7"/>
      <c r="R43" s="7"/>
      <c r="S43" s="20"/>
      <c r="T43" s="7"/>
      <c r="U43" s="7">
        <v>197.6</v>
      </c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58"/>
    </row>
    <row r="44" spans="2:36" ht="110.25" x14ac:dyDescent="0.2">
      <c r="B44" s="13" t="s">
        <v>286</v>
      </c>
      <c r="C44" s="7" t="s">
        <v>287</v>
      </c>
      <c r="D44" s="21">
        <v>2210</v>
      </c>
      <c r="E44" s="7"/>
      <c r="F44" s="59"/>
      <c r="G44" s="7"/>
      <c r="H44" s="33"/>
      <c r="I44" s="60"/>
      <c r="J44" s="7"/>
      <c r="K44" s="7"/>
      <c r="L44" s="60">
        <v>7500</v>
      </c>
      <c r="M44" s="8"/>
      <c r="N44" s="7"/>
      <c r="O44" s="7"/>
      <c r="P44" s="7"/>
      <c r="Q44" s="7"/>
      <c r="R44" s="7"/>
      <c r="S44" s="7">
        <v>28500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 t="s">
        <v>568</v>
      </c>
      <c r="AH44" s="7"/>
      <c r="AI44" s="7"/>
      <c r="AJ44" s="58" t="s">
        <v>569</v>
      </c>
    </row>
    <row r="45" spans="2:36" ht="47.25" x14ac:dyDescent="0.2">
      <c r="B45" s="13" t="s">
        <v>288</v>
      </c>
      <c r="C45" s="7" t="s">
        <v>56</v>
      </c>
      <c r="D45" s="21">
        <v>2210</v>
      </c>
      <c r="E45" s="7"/>
      <c r="F45" s="59"/>
      <c r="G45" s="7"/>
      <c r="H45" s="33"/>
      <c r="I45" s="60"/>
      <c r="J45" s="7">
        <v>364</v>
      </c>
      <c r="K45" s="7"/>
      <c r="L45" s="8"/>
      <c r="M45" s="8"/>
      <c r="N45" s="7"/>
      <c r="O45" s="7">
        <v>116</v>
      </c>
      <c r="P45" s="7"/>
      <c r="Q45" s="7"/>
      <c r="R45" s="7"/>
      <c r="S45" s="7"/>
      <c r="T45" s="7"/>
      <c r="U45" s="7">
        <f>262.26+605</f>
        <v>867.26</v>
      </c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 t="s">
        <v>554</v>
      </c>
      <c r="AH45" s="7"/>
      <c r="AI45" s="7"/>
      <c r="AJ45" s="58"/>
    </row>
    <row r="46" spans="2:36" ht="15.75" hidden="1" x14ac:dyDescent="0.2">
      <c r="B46" s="13" t="s">
        <v>97</v>
      </c>
      <c r="C46" s="7" t="s">
        <v>98</v>
      </c>
      <c r="D46" s="21">
        <v>2210</v>
      </c>
      <c r="E46" s="7"/>
      <c r="F46" s="59"/>
      <c r="G46" s="7"/>
      <c r="H46" s="33"/>
      <c r="I46" s="60"/>
      <c r="J46" s="7">
        <v>636</v>
      </c>
      <c r="K46" s="7"/>
      <c r="L46" s="8"/>
      <c r="M46" s="8"/>
      <c r="N46" s="7"/>
      <c r="O46" s="7">
        <v>183.36</v>
      </c>
      <c r="P46" s="7"/>
      <c r="Q46" s="7"/>
      <c r="R46" s="7"/>
      <c r="S46" s="7"/>
      <c r="T46" s="7"/>
      <c r="U46" s="7"/>
      <c r="V46" s="7"/>
      <c r="W46" s="7">
        <v>1260</v>
      </c>
      <c r="X46" s="7"/>
      <c r="Y46" s="7"/>
      <c r="Z46" s="62">
        <v>420</v>
      </c>
      <c r="AA46" s="7"/>
      <c r="AB46" s="7"/>
      <c r="AC46" s="7"/>
      <c r="AD46" s="7"/>
      <c r="AE46" s="7"/>
      <c r="AF46" s="7"/>
      <c r="AG46" s="7"/>
      <c r="AH46" s="7"/>
      <c r="AI46" s="7"/>
      <c r="AJ46" s="58"/>
    </row>
    <row r="47" spans="2:36" ht="33" hidden="1" x14ac:dyDescent="0.2">
      <c r="B47" s="13" t="s">
        <v>289</v>
      </c>
      <c r="C47" s="15" t="s">
        <v>290</v>
      </c>
      <c r="D47" s="15">
        <v>2210</v>
      </c>
      <c r="E47" s="7"/>
      <c r="F47" s="59"/>
      <c r="G47" s="7"/>
      <c r="H47" s="33"/>
      <c r="I47" s="60"/>
      <c r="J47" s="7"/>
      <c r="K47" s="7"/>
      <c r="L47" s="8"/>
      <c r="M47" s="8"/>
      <c r="N47" s="7"/>
      <c r="O47" s="7"/>
      <c r="P47" s="7"/>
      <c r="Q47" s="7"/>
      <c r="R47" s="7"/>
      <c r="S47" s="20" t="s">
        <v>291</v>
      </c>
      <c r="T47" s="7"/>
      <c r="U47" s="7"/>
      <c r="V47" s="7"/>
      <c r="W47" s="7"/>
      <c r="X47" s="7"/>
      <c r="Y47" s="7"/>
      <c r="Z47" s="7"/>
      <c r="AA47" s="7">
        <v>134</v>
      </c>
      <c r="AB47" s="7"/>
      <c r="AC47" s="7"/>
      <c r="AD47" s="7"/>
      <c r="AE47" s="7"/>
      <c r="AF47" s="7"/>
      <c r="AG47" s="7"/>
      <c r="AH47" s="7"/>
      <c r="AI47" s="7"/>
      <c r="AJ47" s="58"/>
    </row>
    <row r="48" spans="2:36" ht="78.75" x14ac:dyDescent="0.2">
      <c r="B48" s="13" t="s">
        <v>571</v>
      </c>
      <c r="C48" s="15" t="s">
        <v>570</v>
      </c>
      <c r="D48" s="15">
        <v>2210</v>
      </c>
      <c r="E48" s="7"/>
      <c r="F48" s="59"/>
      <c r="G48" s="7"/>
      <c r="H48" s="33"/>
      <c r="I48" s="60"/>
      <c r="J48" s="7"/>
      <c r="K48" s="7"/>
      <c r="L48" s="8"/>
      <c r="M48" s="8"/>
      <c r="N48" s="7"/>
      <c r="O48" s="7"/>
      <c r="P48" s="7"/>
      <c r="Q48" s="7"/>
      <c r="R48" s="7"/>
      <c r="S48" s="20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 t="s">
        <v>572</v>
      </c>
      <c r="AH48" s="7"/>
      <c r="AI48" s="7"/>
      <c r="AJ48" s="18" t="s">
        <v>573</v>
      </c>
    </row>
    <row r="49" spans="2:36" ht="33" hidden="1" x14ac:dyDescent="0.2">
      <c r="B49" s="13" t="s">
        <v>292</v>
      </c>
      <c r="C49" s="15" t="s">
        <v>293</v>
      </c>
      <c r="D49" s="15">
        <v>2210</v>
      </c>
      <c r="E49" s="7"/>
      <c r="F49" s="59"/>
      <c r="G49" s="7"/>
      <c r="H49" s="33"/>
      <c r="I49" s="60"/>
      <c r="J49" s="7"/>
      <c r="K49" s="7"/>
      <c r="L49" s="8"/>
      <c r="M49" s="8"/>
      <c r="N49" s="7"/>
      <c r="O49" s="7"/>
      <c r="P49" s="7"/>
      <c r="Q49" s="7"/>
      <c r="R49" s="7"/>
      <c r="S49" s="20" t="s">
        <v>294</v>
      </c>
      <c r="T49" s="7"/>
      <c r="U49" s="7"/>
      <c r="V49" s="7"/>
      <c r="W49" s="7"/>
      <c r="X49" s="7"/>
      <c r="Y49" s="7"/>
      <c r="Z49" s="7"/>
      <c r="AA49" s="7">
        <v>108.5</v>
      </c>
      <c r="AB49" s="7"/>
      <c r="AC49" s="7"/>
      <c r="AD49" s="7"/>
      <c r="AE49" s="7"/>
      <c r="AF49" s="7"/>
      <c r="AG49" s="7"/>
      <c r="AH49" s="7"/>
      <c r="AI49" s="7"/>
      <c r="AJ49" s="58"/>
    </row>
    <row r="50" spans="2:36" ht="33" hidden="1" x14ac:dyDescent="0.2">
      <c r="B50" s="13" t="s">
        <v>295</v>
      </c>
      <c r="C50" s="15" t="s">
        <v>296</v>
      </c>
      <c r="D50" s="15">
        <v>2210</v>
      </c>
      <c r="E50" s="7"/>
      <c r="F50" s="59"/>
      <c r="G50" s="7"/>
      <c r="H50" s="33"/>
      <c r="I50" s="60"/>
      <c r="J50" s="7"/>
      <c r="K50" s="7"/>
      <c r="L50" s="8"/>
      <c r="M50" s="8"/>
      <c r="N50" s="7"/>
      <c r="O50" s="7"/>
      <c r="P50" s="7"/>
      <c r="Q50" s="7"/>
      <c r="R50" s="7"/>
      <c r="S50" s="20"/>
      <c r="T50" s="7"/>
      <c r="U50" s="7">
        <v>56</v>
      </c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58"/>
    </row>
    <row r="51" spans="2:36" ht="33" hidden="1" x14ac:dyDescent="0.2">
      <c r="B51" s="13" t="s">
        <v>299</v>
      </c>
      <c r="C51" s="15" t="s">
        <v>300</v>
      </c>
      <c r="D51" s="15">
        <v>2210</v>
      </c>
      <c r="E51" s="59"/>
      <c r="F51" s="59"/>
      <c r="G51" s="7"/>
      <c r="H51" s="33"/>
      <c r="I51" s="60"/>
      <c r="J51" s="7"/>
      <c r="K51" s="7"/>
      <c r="L51" s="7"/>
      <c r="M51" s="8"/>
      <c r="N51" s="7"/>
      <c r="O51" s="7"/>
      <c r="P51" s="7"/>
      <c r="Q51" s="7"/>
      <c r="R51" s="7"/>
      <c r="S51" s="20" t="s">
        <v>301</v>
      </c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58"/>
    </row>
    <row r="52" spans="2:36" ht="33" hidden="1" x14ac:dyDescent="0.2">
      <c r="B52" s="13" t="s">
        <v>302</v>
      </c>
      <c r="C52" s="14" t="s">
        <v>303</v>
      </c>
      <c r="D52" s="15">
        <v>2210</v>
      </c>
      <c r="E52" s="59"/>
      <c r="F52" s="59"/>
      <c r="G52" s="7"/>
      <c r="H52" s="33"/>
      <c r="I52" s="60"/>
      <c r="J52" s="7"/>
      <c r="K52" s="7"/>
      <c r="L52" s="7"/>
      <c r="M52" s="8"/>
      <c r="N52" s="7"/>
      <c r="O52" s="7"/>
      <c r="P52" s="7"/>
      <c r="Q52" s="7"/>
      <c r="R52" s="7"/>
      <c r="S52" s="20"/>
      <c r="T52" s="7"/>
      <c r="U52" s="7">
        <v>39.14</v>
      </c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58"/>
    </row>
    <row r="53" spans="2:36" ht="47.25" x14ac:dyDescent="0.2">
      <c r="B53" s="13" t="s">
        <v>304</v>
      </c>
      <c r="C53" s="15" t="s">
        <v>305</v>
      </c>
      <c r="D53" s="15">
        <v>2210</v>
      </c>
      <c r="E53" s="59"/>
      <c r="F53" s="59"/>
      <c r="G53" s="7"/>
      <c r="H53" s="33"/>
      <c r="I53" s="60"/>
      <c r="J53" s="7"/>
      <c r="K53" s="7"/>
      <c r="L53" s="7"/>
      <c r="M53" s="8"/>
      <c r="N53" s="7"/>
      <c r="O53" s="7"/>
      <c r="P53" s="7"/>
      <c r="Q53" s="7"/>
      <c r="R53" s="7"/>
      <c r="S53" s="20" t="s">
        <v>306</v>
      </c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 t="s">
        <v>555</v>
      </c>
      <c r="AH53" s="7"/>
      <c r="AI53" s="7"/>
      <c r="AJ53" s="18" t="s">
        <v>557</v>
      </c>
    </row>
    <row r="54" spans="2:36" ht="63" hidden="1" x14ac:dyDescent="0.2">
      <c r="B54" s="13" t="s">
        <v>307</v>
      </c>
      <c r="C54" s="15" t="s">
        <v>308</v>
      </c>
      <c r="D54" s="15">
        <v>2210</v>
      </c>
      <c r="E54" s="59"/>
      <c r="F54" s="59"/>
      <c r="G54" s="7"/>
      <c r="H54" s="33"/>
      <c r="I54" s="60"/>
      <c r="J54" s="7"/>
      <c r="K54" s="7"/>
      <c r="L54" s="7"/>
      <c r="M54" s="8"/>
      <c r="N54" s="7"/>
      <c r="O54" s="7"/>
      <c r="P54" s="7"/>
      <c r="Q54" s="7"/>
      <c r="R54" s="7"/>
      <c r="S54" s="20" t="s">
        <v>309</v>
      </c>
      <c r="T54" s="7"/>
      <c r="U54" s="7"/>
      <c r="V54" s="7"/>
      <c r="W54" s="7"/>
      <c r="X54" s="7"/>
      <c r="Y54" s="7"/>
      <c r="Z54" s="7"/>
      <c r="AA54" s="7">
        <v>95</v>
      </c>
      <c r="AB54" s="7"/>
      <c r="AC54" s="7"/>
      <c r="AD54" s="7"/>
      <c r="AE54" s="7"/>
      <c r="AF54" s="7"/>
      <c r="AG54" s="7"/>
      <c r="AH54" s="7"/>
      <c r="AI54" s="7"/>
      <c r="AJ54" s="58"/>
    </row>
    <row r="55" spans="2:36" ht="33" hidden="1" x14ac:dyDescent="0.2">
      <c r="B55" s="13" t="s">
        <v>310</v>
      </c>
      <c r="C55" s="15" t="s">
        <v>311</v>
      </c>
      <c r="D55" s="15">
        <v>2210</v>
      </c>
      <c r="E55" s="59"/>
      <c r="F55" s="59"/>
      <c r="G55" s="7"/>
      <c r="H55" s="33"/>
      <c r="I55" s="60"/>
      <c r="J55" s="7"/>
      <c r="K55" s="7"/>
      <c r="L55" s="7"/>
      <c r="M55" s="8"/>
      <c r="N55" s="7"/>
      <c r="O55" s="7"/>
      <c r="P55" s="7"/>
      <c r="Q55" s="7"/>
      <c r="R55" s="7"/>
      <c r="S55" s="20" t="s">
        <v>312</v>
      </c>
      <c r="T55" s="7"/>
      <c r="U55" s="7"/>
      <c r="V55" s="7"/>
      <c r="W55" s="7"/>
      <c r="X55" s="7"/>
      <c r="Y55" s="7"/>
      <c r="Z55" s="7"/>
      <c r="AA55" s="7">
        <v>48.18</v>
      </c>
      <c r="AB55" s="7"/>
      <c r="AC55" s="7"/>
      <c r="AD55" s="7"/>
      <c r="AE55" s="7"/>
      <c r="AF55" s="7"/>
      <c r="AG55" s="7"/>
      <c r="AH55" s="7"/>
      <c r="AI55" s="7"/>
      <c r="AJ55" s="58"/>
    </row>
    <row r="56" spans="2:36" ht="33" hidden="1" x14ac:dyDescent="0.2">
      <c r="B56" s="13" t="s">
        <v>313</v>
      </c>
      <c r="C56" s="15" t="s">
        <v>314</v>
      </c>
      <c r="D56" s="15">
        <v>2210</v>
      </c>
      <c r="E56" s="59"/>
      <c r="F56" s="59"/>
      <c r="G56" s="7"/>
      <c r="H56" s="33"/>
      <c r="I56" s="60"/>
      <c r="J56" s="7"/>
      <c r="K56" s="7"/>
      <c r="L56" s="7"/>
      <c r="M56" s="8"/>
      <c r="N56" s="7"/>
      <c r="O56" s="7"/>
      <c r="P56" s="7"/>
      <c r="Q56" s="7"/>
      <c r="R56" s="7"/>
      <c r="S56" s="20" t="s">
        <v>237</v>
      </c>
      <c r="T56" s="7"/>
      <c r="U56" s="7">
        <v>71.83</v>
      </c>
      <c r="V56" s="7"/>
      <c r="W56" s="7"/>
      <c r="X56" s="7"/>
      <c r="Y56" s="7"/>
      <c r="Z56" s="7"/>
      <c r="AA56" s="7">
        <v>114.15</v>
      </c>
      <c r="AB56" s="7"/>
      <c r="AC56" s="7"/>
      <c r="AD56" s="7"/>
      <c r="AE56" s="7"/>
      <c r="AF56" s="7"/>
      <c r="AG56" s="7"/>
      <c r="AH56" s="7"/>
      <c r="AI56" s="7"/>
      <c r="AJ56" s="58"/>
    </row>
    <row r="57" spans="2:36" ht="63" hidden="1" x14ac:dyDescent="0.2">
      <c r="B57" s="13" t="s">
        <v>315</v>
      </c>
      <c r="C57" s="14" t="s">
        <v>316</v>
      </c>
      <c r="D57" s="15">
        <v>2210</v>
      </c>
      <c r="E57" s="59"/>
      <c r="F57" s="59"/>
      <c r="G57" s="7"/>
      <c r="H57" s="33"/>
      <c r="I57" s="60"/>
      <c r="J57" s="7"/>
      <c r="K57" s="7"/>
      <c r="L57" s="7"/>
      <c r="M57" s="8"/>
      <c r="N57" s="7"/>
      <c r="O57" s="7"/>
      <c r="P57" s="7"/>
      <c r="Q57" s="7"/>
      <c r="R57" s="7"/>
      <c r="S57" s="20"/>
      <c r="T57" s="7"/>
      <c r="U57" s="7">
        <v>528.6</v>
      </c>
      <c r="V57" s="7"/>
      <c r="W57" s="7"/>
      <c r="X57" s="7"/>
      <c r="Y57" s="7"/>
      <c r="Z57" s="7"/>
      <c r="AA57" s="7">
        <v>29.24</v>
      </c>
      <c r="AB57" s="7"/>
      <c r="AC57" s="7"/>
      <c r="AD57" s="7"/>
      <c r="AE57" s="7"/>
      <c r="AF57" s="7"/>
      <c r="AG57" s="7"/>
      <c r="AH57" s="7"/>
      <c r="AI57" s="7"/>
      <c r="AJ57" s="58"/>
    </row>
    <row r="58" spans="2:36" ht="33" hidden="1" x14ac:dyDescent="0.2">
      <c r="B58" s="13" t="s">
        <v>317</v>
      </c>
      <c r="C58" s="15" t="s">
        <v>318</v>
      </c>
      <c r="D58" s="15">
        <v>2210</v>
      </c>
      <c r="E58" s="59"/>
      <c r="F58" s="59"/>
      <c r="G58" s="7"/>
      <c r="H58" s="33"/>
      <c r="I58" s="60"/>
      <c r="J58" s="7"/>
      <c r="K58" s="7"/>
      <c r="L58" s="7"/>
      <c r="M58" s="8"/>
      <c r="N58" s="7"/>
      <c r="O58" s="7"/>
      <c r="P58" s="7"/>
      <c r="Q58" s="7"/>
      <c r="R58" s="7"/>
      <c r="S58" s="20" t="s">
        <v>319</v>
      </c>
      <c r="T58" s="7"/>
      <c r="U58" s="7"/>
      <c r="V58" s="7"/>
      <c r="W58" s="7"/>
      <c r="X58" s="7"/>
      <c r="Y58" s="7"/>
      <c r="Z58" s="7"/>
      <c r="AA58" s="7">
        <f>145.24+26</f>
        <v>171.24</v>
      </c>
      <c r="AB58" s="7"/>
      <c r="AC58" s="7"/>
      <c r="AD58" s="7"/>
      <c r="AE58" s="7"/>
      <c r="AF58" s="7"/>
      <c r="AG58" s="7"/>
      <c r="AH58" s="7"/>
      <c r="AI58" s="7"/>
      <c r="AJ58" s="58"/>
    </row>
    <row r="59" spans="2:36" ht="33" hidden="1" x14ac:dyDescent="0.2">
      <c r="B59" s="13" t="s">
        <v>320</v>
      </c>
      <c r="C59" s="15" t="s">
        <v>321</v>
      </c>
      <c r="D59" s="15">
        <v>2210</v>
      </c>
      <c r="E59" s="59"/>
      <c r="F59" s="59"/>
      <c r="G59" s="7"/>
      <c r="H59" s="33"/>
      <c r="I59" s="60"/>
      <c r="J59" s="7"/>
      <c r="K59" s="7"/>
      <c r="L59" s="7"/>
      <c r="M59" s="8"/>
      <c r="N59" s="7"/>
      <c r="O59" s="7"/>
      <c r="P59" s="7"/>
      <c r="Q59" s="7"/>
      <c r="R59" s="7"/>
      <c r="S59" s="20" t="s">
        <v>322</v>
      </c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58"/>
    </row>
    <row r="60" spans="2:36" ht="33" hidden="1" x14ac:dyDescent="0.2">
      <c r="B60" s="13" t="s">
        <v>310</v>
      </c>
      <c r="C60" s="15" t="s">
        <v>323</v>
      </c>
      <c r="D60" s="15">
        <v>2210</v>
      </c>
      <c r="E60" s="59"/>
      <c r="F60" s="59"/>
      <c r="G60" s="7"/>
      <c r="H60" s="33"/>
      <c r="I60" s="60"/>
      <c r="J60" s="7"/>
      <c r="K60" s="7"/>
      <c r="L60" s="7"/>
      <c r="M60" s="8"/>
      <c r="N60" s="7"/>
      <c r="O60" s="7"/>
      <c r="P60" s="7"/>
      <c r="Q60" s="7"/>
      <c r="R60" s="7"/>
      <c r="S60" s="20" t="s">
        <v>324</v>
      </c>
      <c r="T60" s="63">
        <v>51.84</v>
      </c>
      <c r="U60" s="7"/>
      <c r="V60" s="7"/>
      <c r="W60" s="7"/>
      <c r="X60" s="7"/>
      <c r="Y60" s="7"/>
      <c r="Z60" s="7"/>
      <c r="AA60" s="7">
        <v>20.5</v>
      </c>
      <c r="AB60" s="7"/>
      <c r="AC60" s="7"/>
      <c r="AD60" s="7"/>
      <c r="AE60" s="7"/>
      <c r="AF60" s="7"/>
      <c r="AG60" s="7"/>
      <c r="AH60" s="7"/>
      <c r="AI60" s="7"/>
      <c r="AJ60" s="58"/>
    </row>
    <row r="61" spans="2:36" ht="49.5" hidden="1" x14ac:dyDescent="0.2">
      <c r="B61" s="13" t="s">
        <v>325</v>
      </c>
      <c r="C61" s="15" t="s">
        <v>326</v>
      </c>
      <c r="D61" s="15">
        <v>2210</v>
      </c>
      <c r="E61" s="59"/>
      <c r="F61" s="59"/>
      <c r="G61" s="7"/>
      <c r="H61" s="33"/>
      <c r="I61" s="60"/>
      <c r="J61" s="7"/>
      <c r="K61" s="7"/>
      <c r="L61" s="7"/>
      <c r="M61" s="8"/>
      <c r="N61" s="7"/>
      <c r="O61" s="7"/>
      <c r="P61" s="7"/>
      <c r="Q61" s="7"/>
      <c r="R61" s="7"/>
      <c r="S61" s="20"/>
      <c r="T61" s="63">
        <v>510.68</v>
      </c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58"/>
    </row>
    <row r="62" spans="2:36" s="12" customFormat="1" ht="81.75" customHeight="1" x14ac:dyDescent="0.25">
      <c r="B62" s="13" t="s">
        <v>58</v>
      </c>
      <c r="C62" s="14" t="s">
        <v>59</v>
      </c>
      <c r="D62" s="15">
        <v>2210</v>
      </c>
      <c r="E62" s="14"/>
      <c r="F62" s="14"/>
      <c r="G62" s="14">
        <v>0</v>
      </c>
      <c r="H62" s="14"/>
      <c r="I62" s="14"/>
      <c r="J62" s="14">
        <v>346</v>
      </c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4" t="s">
        <v>556</v>
      </c>
      <c r="AH62" s="14"/>
      <c r="AI62" s="98"/>
      <c r="AJ62" s="18" t="s">
        <v>557</v>
      </c>
    </row>
    <row r="63" spans="2:36" ht="33" hidden="1" x14ac:dyDescent="0.2">
      <c r="B63" s="13" t="s">
        <v>332</v>
      </c>
      <c r="C63" s="15" t="s">
        <v>333</v>
      </c>
      <c r="D63" s="21">
        <v>2210</v>
      </c>
      <c r="E63" s="59"/>
      <c r="F63" s="59"/>
      <c r="G63" s="7"/>
      <c r="H63" s="33"/>
      <c r="I63" s="60"/>
      <c r="J63" s="7"/>
      <c r="K63" s="7"/>
      <c r="L63" s="20"/>
      <c r="M63" s="8"/>
      <c r="N63" s="7"/>
      <c r="O63" s="7"/>
      <c r="P63" s="7"/>
      <c r="Q63" s="7"/>
      <c r="R63" s="7"/>
      <c r="S63" s="20"/>
      <c r="T63" s="7"/>
      <c r="U63" s="7"/>
      <c r="V63" s="7"/>
      <c r="W63" s="7"/>
      <c r="X63" s="7"/>
      <c r="Y63" s="7"/>
      <c r="Z63" s="7"/>
      <c r="AA63" s="7">
        <v>22</v>
      </c>
      <c r="AB63" s="7"/>
      <c r="AC63" s="7"/>
      <c r="AD63" s="7"/>
      <c r="AE63" s="7"/>
      <c r="AF63" s="7"/>
      <c r="AG63" s="7"/>
      <c r="AH63" s="7"/>
      <c r="AI63" s="7"/>
      <c r="AJ63" s="58"/>
    </row>
    <row r="64" spans="2:36" ht="47.25" hidden="1" x14ac:dyDescent="0.2">
      <c r="B64" s="13" t="s">
        <v>334</v>
      </c>
      <c r="C64" s="15" t="s">
        <v>335</v>
      </c>
      <c r="D64" s="21">
        <v>2210</v>
      </c>
      <c r="E64" s="59"/>
      <c r="F64" s="59"/>
      <c r="G64" s="7"/>
      <c r="H64" s="33"/>
      <c r="I64" s="60"/>
      <c r="J64" s="7"/>
      <c r="K64" s="7"/>
      <c r="L64" s="20"/>
      <c r="M64" s="8"/>
      <c r="N64" s="7"/>
      <c r="O64" s="7"/>
      <c r="P64" s="7"/>
      <c r="Q64" s="7"/>
      <c r="R64" s="7"/>
      <c r="S64" s="20"/>
      <c r="T64" s="7"/>
      <c r="U64" s="7"/>
      <c r="V64" s="7"/>
      <c r="W64" s="7"/>
      <c r="X64" s="7"/>
      <c r="Y64" s="7"/>
      <c r="Z64" s="7"/>
      <c r="AA64" s="7">
        <v>600.5</v>
      </c>
      <c r="AB64" s="7"/>
      <c r="AC64" s="7"/>
      <c r="AD64" s="7"/>
      <c r="AE64" s="7"/>
      <c r="AF64" s="7"/>
      <c r="AG64" s="7"/>
      <c r="AH64" s="7"/>
      <c r="AI64" s="7"/>
      <c r="AJ64" s="58"/>
    </row>
    <row r="65" spans="2:36" ht="47.25" hidden="1" x14ac:dyDescent="0.2">
      <c r="B65" s="13" t="s">
        <v>334</v>
      </c>
      <c r="C65" s="15" t="s">
        <v>335</v>
      </c>
      <c r="D65" s="15">
        <v>2210</v>
      </c>
      <c r="E65" s="7"/>
      <c r="F65" s="59"/>
      <c r="G65" s="7"/>
      <c r="H65" s="33"/>
      <c r="I65" s="60"/>
      <c r="J65" s="8"/>
      <c r="K65" s="8"/>
      <c r="L65" s="8"/>
      <c r="M65" s="8"/>
      <c r="N65" s="7"/>
      <c r="O65" s="7"/>
      <c r="P65" s="7"/>
      <c r="Q65" s="7"/>
      <c r="R65" s="7"/>
      <c r="S65" s="20" t="s">
        <v>337</v>
      </c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58"/>
    </row>
    <row r="66" spans="2:36" s="12" customFormat="1" ht="77.25" customHeight="1" x14ac:dyDescent="0.25">
      <c r="B66" s="13" t="s">
        <v>61</v>
      </c>
      <c r="C66" s="15" t="s">
        <v>62</v>
      </c>
      <c r="D66" s="21">
        <v>2210</v>
      </c>
      <c r="E66" s="14"/>
      <c r="F66" s="14"/>
      <c r="G66" s="14">
        <v>0</v>
      </c>
      <c r="H66" s="14"/>
      <c r="I66" s="14">
        <v>2300</v>
      </c>
      <c r="J66" s="14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4" t="s">
        <v>558</v>
      </c>
      <c r="AH66" s="14"/>
      <c r="AI66" s="98"/>
      <c r="AJ66" s="18"/>
    </row>
    <row r="67" spans="2:36" ht="60" x14ac:dyDescent="0.2">
      <c r="B67" s="13" t="s">
        <v>340</v>
      </c>
      <c r="C67" s="15" t="s">
        <v>341</v>
      </c>
      <c r="D67" s="15">
        <v>2210</v>
      </c>
      <c r="E67" s="7"/>
      <c r="F67" s="59"/>
      <c r="G67" s="7"/>
      <c r="H67" s="33"/>
      <c r="I67" s="60"/>
      <c r="J67" s="8"/>
      <c r="K67" s="8"/>
      <c r="L67" s="8"/>
      <c r="M67" s="8"/>
      <c r="N67" s="7"/>
      <c r="O67" s="7"/>
      <c r="P67" s="7"/>
      <c r="Q67" s="7"/>
      <c r="R67" s="7"/>
      <c r="S67" s="20" t="s">
        <v>342</v>
      </c>
      <c r="T67" s="63">
        <v>500</v>
      </c>
      <c r="U67" s="20"/>
      <c r="V67" s="20"/>
      <c r="W67" s="20"/>
      <c r="X67" s="7"/>
      <c r="Y67" s="7"/>
      <c r="Z67" s="7"/>
      <c r="AA67" s="7">
        <v>209.23</v>
      </c>
      <c r="AB67" s="7"/>
      <c r="AC67" s="7"/>
      <c r="AD67" s="7"/>
      <c r="AE67" s="7"/>
      <c r="AF67" s="7"/>
      <c r="AG67" s="7" t="s">
        <v>581</v>
      </c>
      <c r="AH67" s="7"/>
      <c r="AI67" s="7"/>
      <c r="AJ67" s="18" t="s">
        <v>582</v>
      </c>
    </row>
    <row r="68" spans="2:36" ht="72.75" customHeight="1" x14ac:dyDescent="0.2">
      <c r="B68" s="19" t="s">
        <v>576</v>
      </c>
      <c r="C68" s="15" t="s">
        <v>575</v>
      </c>
      <c r="D68" s="15">
        <v>2210</v>
      </c>
      <c r="E68" s="7"/>
      <c r="F68" s="59"/>
      <c r="G68" s="7"/>
      <c r="H68" s="33"/>
      <c r="I68" s="60"/>
      <c r="J68" s="8"/>
      <c r="K68" s="8"/>
      <c r="L68" s="8"/>
      <c r="M68" s="8"/>
      <c r="N68" s="7"/>
      <c r="O68" s="7"/>
      <c r="P68" s="7"/>
      <c r="Q68" s="7"/>
      <c r="R68" s="7"/>
      <c r="S68" s="20"/>
      <c r="T68" s="63"/>
      <c r="U68" s="20"/>
      <c r="V68" s="20"/>
      <c r="W68" s="20"/>
      <c r="X68" s="7"/>
      <c r="Y68" s="7"/>
      <c r="Z68" s="7"/>
      <c r="AA68" s="7"/>
      <c r="AB68" s="7"/>
      <c r="AC68" s="7"/>
      <c r="AD68" s="7"/>
      <c r="AE68" s="7"/>
      <c r="AF68" s="7"/>
      <c r="AG68" s="7" t="s">
        <v>578</v>
      </c>
      <c r="AH68" s="7"/>
      <c r="AI68" s="7"/>
      <c r="AJ68" s="18" t="s">
        <v>577</v>
      </c>
    </row>
    <row r="69" spans="2:36" ht="61.5" customHeight="1" x14ac:dyDescent="0.2">
      <c r="B69" s="19" t="s">
        <v>425</v>
      </c>
      <c r="C69" s="15" t="s">
        <v>426</v>
      </c>
      <c r="D69" s="15">
        <v>2210</v>
      </c>
      <c r="E69" s="7"/>
      <c r="F69" s="59"/>
      <c r="G69" s="7"/>
      <c r="H69" s="33"/>
      <c r="I69" s="60"/>
      <c r="J69" s="8"/>
      <c r="K69" s="8"/>
      <c r="L69" s="8"/>
      <c r="M69" s="8"/>
      <c r="N69" s="7"/>
      <c r="O69" s="7"/>
      <c r="P69" s="7"/>
      <c r="Q69" s="7"/>
      <c r="R69" s="7"/>
      <c r="S69" s="20"/>
      <c r="T69" s="63"/>
      <c r="U69" s="20"/>
      <c r="V69" s="20"/>
      <c r="W69" s="20"/>
      <c r="X69" s="7"/>
      <c r="Y69" s="7"/>
      <c r="Z69" s="7"/>
      <c r="AA69" s="7"/>
      <c r="AB69" s="7"/>
      <c r="AC69" s="7"/>
      <c r="AD69" s="7"/>
      <c r="AE69" s="7"/>
      <c r="AF69" s="7"/>
      <c r="AG69" s="7" t="s">
        <v>579</v>
      </c>
      <c r="AH69" s="7"/>
      <c r="AI69" s="7"/>
      <c r="AJ69" s="18" t="s">
        <v>580</v>
      </c>
    </row>
    <row r="70" spans="2:36" ht="33" hidden="1" x14ac:dyDescent="0.2">
      <c r="B70" s="13" t="s">
        <v>343</v>
      </c>
      <c r="C70" s="15" t="s">
        <v>344</v>
      </c>
      <c r="D70" s="15">
        <v>2210</v>
      </c>
      <c r="E70" s="7"/>
      <c r="F70" s="59"/>
      <c r="G70" s="7"/>
      <c r="H70" s="33"/>
      <c r="I70" s="60"/>
      <c r="J70" s="8"/>
      <c r="K70" s="8"/>
      <c r="L70" s="8"/>
      <c r="M70" s="8"/>
      <c r="N70" s="7"/>
      <c r="O70" s="7"/>
      <c r="P70" s="7"/>
      <c r="Q70" s="7"/>
      <c r="R70" s="7"/>
      <c r="S70" s="20" t="s">
        <v>345</v>
      </c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58"/>
    </row>
    <row r="71" spans="2:36" ht="49.5" hidden="1" x14ac:dyDescent="0.2">
      <c r="B71" s="13" t="s">
        <v>346</v>
      </c>
      <c r="C71" s="15" t="s">
        <v>347</v>
      </c>
      <c r="D71" s="15">
        <v>2210</v>
      </c>
      <c r="E71" s="7"/>
      <c r="F71" s="59"/>
      <c r="G71" s="7"/>
      <c r="H71" s="33"/>
      <c r="I71" s="60"/>
      <c r="J71" s="8"/>
      <c r="K71" s="8"/>
      <c r="L71" s="8"/>
      <c r="M71" s="8"/>
      <c r="N71" s="7"/>
      <c r="O71" s="7"/>
      <c r="P71" s="7"/>
      <c r="Q71" s="7"/>
      <c r="R71" s="7"/>
      <c r="S71" s="20"/>
      <c r="T71" s="7"/>
      <c r="U71" s="7"/>
      <c r="V71" s="7"/>
      <c r="W71" s="7"/>
      <c r="X71" s="7"/>
      <c r="Y71" s="7"/>
      <c r="Z71" s="7"/>
      <c r="AA71" s="7"/>
      <c r="AB71" s="7">
        <v>148</v>
      </c>
      <c r="AC71" s="7"/>
      <c r="AD71" s="7"/>
      <c r="AE71" s="7"/>
      <c r="AF71" s="7"/>
      <c r="AG71" s="7"/>
      <c r="AH71" s="7"/>
      <c r="AI71" s="7"/>
      <c r="AJ71" s="58"/>
    </row>
    <row r="72" spans="2:36" ht="47.25" hidden="1" x14ac:dyDescent="0.2">
      <c r="B72" s="13" t="s">
        <v>348</v>
      </c>
      <c r="C72" s="15" t="s">
        <v>349</v>
      </c>
      <c r="D72" s="15">
        <v>2210</v>
      </c>
      <c r="E72" s="7"/>
      <c r="F72" s="59"/>
      <c r="G72" s="7"/>
      <c r="H72" s="33"/>
      <c r="I72" s="60"/>
      <c r="J72" s="8"/>
      <c r="K72" s="8"/>
      <c r="L72" s="8"/>
      <c r="M72" s="8"/>
      <c r="N72" s="7"/>
      <c r="O72" s="7"/>
      <c r="P72" s="7"/>
      <c r="Q72" s="7"/>
      <c r="R72" s="7"/>
      <c r="S72" s="20"/>
      <c r="T72" s="7"/>
      <c r="U72" s="7"/>
      <c r="V72" s="7"/>
      <c r="W72" s="7"/>
      <c r="X72" s="7"/>
      <c r="Y72" s="7"/>
      <c r="Z72" s="7"/>
      <c r="AA72" s="7">
        <v>71</v>
      </c>
      <c r="AB72" s="7"/>
      <c r="AC72" s="7"/>
      <c r="AD72" s="7"/>
      <c r="AE72" s="7"/>
      <c r="AF72" s="7"/>
      <c r="AG72" s="7"/>
      <c r="AH72" s="7"/>
      <c r="AI72" s="7"/>
      <c r="AJ72" s="58"/>
    </row>
    <row r="73" spans="2:36" ht="33" hidden="1" x14ac:dyDescent="0.2">
      <c r="B73" s="19" t="s">
        <v>350</v>
      </c>
      <c r="C73" s="15" t="s">
        <v>351</v>
      </c>
      <c r="D73" s="15">
        <v>2210</v>
      </c>
      <c r="E73" s="7"/>
      <c r="F73" s="59"/>
      <c r="G73" s="7"/>
      <c r="H73" s="33"/>
      <c r="I73" s="60"/>
      <c r="J73" s="8"/>
      <c r="K73" s="8"/>
      <c r="L73" s="8"/>
      <c r="M73" s="8"/>
      <c r="N73" s="7"/>
      <c r="O73" s="7"/>
      <c r="P73" s="7"/>
      <c r="Q73" s="7"/>
      <c r="R73" s="7"/>
      <c r="S73" s="20"/>
      <c r="T73" s="7"/>
      <c r="U73" s="7"/>
      <c r="V73" s="7"/>
      <c r="W73" s="7"/>
      <c r="X73" s="7"/>
      <c r="Y73" s="7"/>
      <c r="Z73" s="62">
        <v>340</v>
      </c>
      <c r="AA73" s="7">
        <v>180</v>
      </c>
      <c r="AB73" s="7">
        <f>368+294</f>
        <v>662</v>
      </c>
      <c r="AC73" s="7"/>
      <c r="AD73" s="7"/>
      <c r="AE73" s="7"/>
      <c r="AF73" s="7"/>
      <c r="AG73" s="7"/>
      <c r="AH73" s="7"/>
      <c r="AI73" s="7"/>
      <c r="AJ73" s="58"/>
    </row>
    <row r="74" spans="2:36" ht="33" hidden="1" x14ac:dyDescent="0.2">
      <c r="B74" s="13" t="s">
        <v>352</v>
      </c>
      <c r="C74" s="15" t="s">
        <v>353</v>
      </c>
      <c r="D74" s="21">
        <v>2210</v>
      </c>
      <c r="E74" s="7"/>
      <c r="F74" s="59" t="s">
        <v>354</v>
      </c>
      <c r="G74" s="7">
        <v>1300</v>
      </c>
      <c r="H74" s="33"/>
      <c r="I74" s="60">
        <v>750</v>
      </c>
      <c r="J74" s="8"/>
      <c r="K74" s="8"/>
      <c r="L74" s="8"/>
      <c r="M74" s="8"/>
      <c r="N74" s="7">
        <v>450</v>
      </c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58"/>
    </row>
    <row r="75" spans="2:36" ht="49.5" hidden="1" x14ac:dyDescent="0.2">
      <c r="B75" s="13" t="s">
        <v>355</v>
      </c>
      <c r="C75" s="15" t="s">
        <v>356</v>
      </c>
      <c r="D75" s="21">
        <v>2210</v>
      </c>
      <c r="E75" s="7"/>
      <c r="F75" s="7"/>
      <c r="G75" s="33"/>
      <c r="H75" s="59"/>
      <c r="I75" s="60">
        <v>1400</v>
      </c>
      <c r="J75" s="8"/>
      <c r="K75" s="8"/>
      <c r="L75" s="8"/>
      <c r="M75" s="8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58"/>
    </row>
    <row r="76" spans="2:36" ht="24.75" hidden="1" customHeight="1" x14ac:dyDescent="0.2">
      <c r="B76" s="13" t="s">
        <v>357</v>
      </c>
      <c r="C76" s="15" t="s">
        <v>358</v>
      </c>
      <c r="D76" s="21">
        <v>2210</v>
      </c>
      <c r="E76" s="64"/>
      <c r="F76" s="59"/>
      <c r="G76" s="7"/>
      <c r="H76" s="33"/>
      <c r="I76" s="60"/>
      <c r="J76" s="8"/>
      <c r="K76" s="60"/>
      <c r="L76" s="8"/>
      <c r="M76" s="8"/>
      <c r="N76" s="7"/>
      <c r="O76" s="7"/>
      <c r="P76" s="7"/>
      <c r="Q76" s="7"/>
      <c r="R76" s="7"/>
      <c r="S76" s="59" t="s">
        <v>359</v>
      </c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58"/>
    </row>
    <row r="77" spans="2:36" ht="33" hidden="1" x14ac:dyDescent="0.2">
      <c r="B77" s="13" t="s">
        <v>360</v>
      </c>
      <c r="C77" s="15" t="s">
        <v>361</v>
      </c>
      <c r="D77" s="21">
        <v>2210</v>
      </c>
      <c r="E77" s="64"/>
      <c r="F77" s="59"/>
      <c r="G77" s="7"/>
      <c r="H77" s="33"/>
      <c r="I77" s="60">
        <v>600</v>
      </c>
      <c r="J77" s="8"/>
      <c r="K77" s="60">
        <v>7500</v>
      </c>
      <c r="L77" s="8"/>
      <c r="M77" s="8"/>
      <c r="N77" s="7"/>
      <c r="O77" s="7"/>
      <c r="P77" s="7">
        <v>2500</v>
      </c>
      <c r="Q77" s="7"/>
      <c r="R77" s="7"/>
      <c r="S77" s="20" t="s">
        <v>362</v>
      </c>
      <c r="T77" s="7"/>
      <c r="U77" s="7"/>
      <c r="V77" s="7"/>
      <c r="W77" s="7"/>
      <c r="X77" s="7"/>
      <c r="Y77" s="7"/>
      <c r="Z77" s="7"/>
      <c r="AA77" s="7"/>
      <c r="AB77" s="7"/>
      <c r="AC77" s="7">
        <v>60365</v>
      </c>
      <c r="AD77" s="7"/>
      <c r="AE77" s="7"/>
      <c r="AF77" s="7"/>
      <c r="AG77" s="7"/>
      <c r="AH77" s="7"/>
      <c r="AI77" s="7"/>
      <c r="AJ77" s="58"/>
    </row>
    <row r="78" spans="2:36" ht="33" hidden="1" x14ac:dyDescent="0.2">
      <c r="B78" s="13" t="s">
        <v>363</v>
      </c>
      <c r="C78" s="15" t="s">
        <v>364</v>
      </c>
      <c r="D78" s="15">
        <v>2210</v>
      </c>
      <c r="E78" s="15"/>
      <c r="F78" s="15"/>
      <c r="G78" s="7"/>
      <c r="H78" s="33"/>
      <c r="I78" s="60"/>
      <c r="J78" s="8"/>
      <c r="K78" s="60"/>
      <c r="L78" s="8"/>
      <c r="M78" s="8"/>
      <c r="N78" s="7"/>
      <c r="O78" s="7"/>
      <c r="P78" s="7"/>
      <c r="Q78" s="7"/>
      <c r="R78" s="20" t="s">
        <v>365</v>
      </c>
      <c r="S78" s="20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58"/>
    </row>
    <row r="79" spans="2:36" ht="33" hidden="1" x14ac:dyDescent="0.2">
      <c r="B79" s="13" t="s">
        <v>366</v>
      </c>
      <c r="C79" s="15" t="s">
        <v>367</v>
      </c>
      <c r="D79" s="15">
        <v>2210</v>
      </c>
      <c r="E79" s="15"/>
      <c r="F79" s="15"/>
      <c r="G79" s="7"/>
      <c r="H79" s="33"/>
      <c r="I79" s="60"/>
      <c r="J79" s="8"/>
      <c r="K79" s="60"/>
      <c r="L79" s="8"/>
      <c r="M79" s="8"/>
      <c r="N79" s="7"/>
      <c r="O79" s="7"/>
      <c r="P79" s="7"/>
      <c r="Q79" s="7"/>
      <c r="R79" s="20"/>
      <c r="S79" s="20"/>
      <c r="T79" s="7"/>
      <c r="U79" s="7"/>
      <c r="V79" s="7"/>
      <c r="W79" s="7"/>
      <c r="X79" s="7"/>
      <c r="Y79" s="7"/>
      <c r="Z79" s="7">
        <v>2600</v>
      </c>
      <c r="AA79" s="7"/>
      <c r="AB79" s="7"/>
      <c r="AC79" s="7"/>
      <c r="AD79" s="7"/>
      <c r="AE79" s="7"/>
      <c r="AF79" s="7"/>
      <c r="AG79" s="7"/>
      <c r="AH79" s="7"/>
      <c r="AI79" s="7"/>
      <c r="AJ79" s="58"/>
    </row>
    <row r="80" spans="2:36" ht="33" hidden="1" x14ac:dyDescent="0.2">
      <c r="B80" s="13" t="s">
        <v>368</v>
      </c>
      <c r="C80" s="15" t="s">
        <v>369</v>
      </c>
      <c r="D80" s="15">
        <v>2210</v>
      </c>
      <c r="E80" s="7"/>
      <c r="F80" s="59"/>
      <c r="G80" s="7"/>
      <c r="H80" s="33"/>
      <c r="I80" s="60"/>
      <c r="J80" s="8"/>
      <c r="K80" s="60"/>
      <c r="L80" s="8"/>
      <c r="M80" s="8"/>
      <c r="N80" s="7"/>
      <c r="O80" s="7"/>
      <c r="P80" s="7"/>
      <c r="Q80" s="7"/>
      <c r="R80" s="7"/>
      <c r="S80" s="20" t="s">
        <v>370</v>
      </c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58"/>
    </row>
    <row r="81" spans="2:40" ht="94.5" hidden="1" x14ac:dyDescent="0.2">
      <c r="B81" s="13" t="s">
        <v>371</v>
      </c>
      <c r="C81" s="15" t="s">
        <v>372</v>
      </c>
      <c r="D81" s="15">
        <v>2210</v>
      </c>
      <c r="E81" s="7"/>
      <c r="F81" s="59"/>
      <c r="G81" s="7"/>
      <c r="H81" s="33"/>
      <c r="I81" s="60"/>
      <c r="J81" s="8"/>
      <c r="K81" s="60"/>
      <c r="L81" s="8"/>
      <c r="M81" s="8"/>
      <c r="N81" s="7"/>
      <c r="O81" s="7"/>
      <c r="P81" s="7"/>
      <c r="Q81" s="7"/>
      <c r="R81" s="7"/>
      <c r="S81" s="20"/>
      <c r="T81" s="63">
        <v>506.25</v>
      </c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58"/>
    </row>
    <row r="82" spans="2:40" ht="51.75" customHeight="1" x14ac:dyDescent="0.2">
      <c r="B82" s="13" t="s">
        <v>373</v>
      </c>
      <c r="C82" s="15" t="s">
        <v>374</v>
      </c>
      <c r="D82" s="21">
        <v>2210</v>
      </c>
      <c r="E82" s="7"/>
      <c r="F82" s="59"/>
      <c r="G82" s="7"/>
      <c r="H82" s="33"/>
      <c r="I82" s="60"/>
      <c r="J82" s="8"/>
      <c r="K82" s="60"/>
      <c r="L82" s="8"/>
      <c r="M82" s="8"/>
      <c r="N82" s="7">
        <v>3000</v>
      </c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 t="s">
        <v>560</v>
      </c>
      <c r="AH82" s="7"/>
      <c r="AI82" s="7"/>
      <c r="AJ82" s="18" t="s">
        <v>562</v>
      </c>
    </row>
    <row r="83" spans="2:40" ht="94.5" x14ac:dyDescent="0.2">
      <c r="B83" s="13" t="s">
        <v>375</v>
      </c>
      <c r="C83" s="15" t="s">
        <v>376</v>
      </c>
      <c r="D83" s="21">
        <v>2210</v>
      </c>
      <c r="E83" s="7">
        <v>3000</v>
      </c>
      <c r="F83" s="59" t="s">
        <v>377</v>
      </c>
      <c r="G83" s="7">
        <f>E83+F83</f>
        <v>6000</v>
      </c>
      <c r="H83" s="33"/>
      <c r="I83" s="7"/>
      <c r="J83" s="7"/>
      <c r="K83" s="7"/>
      <c r="L83" s="8"/>
      <c r="M83" s="8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 t="s">
        <v>561</v>
      </c>
      <c r="AH83" s="7"/>
      <c r="AI83" s="7"/>
      <c r="AJ83" s="18" t="s">
        <v>563</v>
      </c>
    </row>
    <row r="84" spans="2:40" ht="94.5" x14ac:dyDescent="0.2">
      <c r="B84" s="65" t="s">
        <v>435</v>
      </c>
      <c r="C84" s="7"/>
      <c r="D84" s="21"/>
      <c r="E84" s="60">
        <f t="shared" ref="E84:AF84" si="1">SUM(E8:E83)</f>
        <v>12000</v>
      </c>
      <c r="F84" s="60">
        <f t="shared" si="1"/>
        <v>89800</v>
      </c>
      <c r="G84" s="60">
        <f t="shared" si="1"/>
        <v>106930</v>
      </c>
      <c r="H84" s="60">
        <f t="shared" si="1"/>
        <v>0</v>
      </c>
      <c r="I84" s="60">
        <f t="shared" si="1"/>
        <v>6567</v>
      </c>
      <c r="J84" s="60">
        <f t="shared" si="1"/>
        <v>1448</v>
      </c>
      <c r="K84" s="60">
        <f t="shared" si="1"/>
        <v>9380</v>
      </c>
      <c r="L84" s="60">
        <f t="shared" si="1"/>
        <v>7500</v>
      </c>
      <c r="M84" s="60">
        <f t="shared" si="1"/>
        <v>3817.9</v>
      </c>
      <c r="N84" s="60">
        <f t="shared" si="1"/>
        <v>4051</v>
      </c>
      <c r="O84" s="60">
        <f t="shared" si="1"/>
        <v>530.4</v>
      </c>
      <c r="P84" s="60">
        <f t="shared" si="1"/>
        <v>2500</v>
      </c>
      <c r="Q84" s="60">
        <f t="shared" si="1"/>
        <v>99</v>
      </c>
      <c r="R84" s="60">
        <f t="shared" si="1"/>
        <v>3400</v>
      </c>
      <c r="S84" s="60">
        <f t="shared" si="1"/>
        <v>31279.84</v>
      </c>
      <c r="T84" s="60">
        <f t="shared" si="1"/>
        <v>23495.57</v>
      </c>
      <c r="U84" s="60">
        <f t="shared" si="1"/>
        <v>4249.7299999999996</v>
      </c>
      <c r="V84" s="60">
        <f t="shared" si="1"/>
        <v>0</v>
      </c>
      <c r="W84" s="60">
        <f t="shared" si="1"/>
        <v>5877</v>
      </c>
      <c r="X84" s="60">
        <f t="shared" si="1"/>
        <v>0</v>
      </c>
      <c r="Y84" s="60">
        <f t="shared" si="1"/>
        <v>4000</v>
      </c>
      <c r="Z84" s="60">
        <f t="shared" si="1"/>
        <v>12442</v>
      </c>
      <c r="AA84" s="60">
        <f t="shared" si="1"/>
        <v>2943.34</v>
      </c>
      <c r="AB84" s="60">
        <f t="shared" si="1"/>
        <v>1718</v>
      </c>
      <c r="AC84" s="60">
        <f t="shared" si="1"/>
        <v>60665</v>
      </c>
      <c r="AD84" s="60">
        <f t="shared" si="1"/>
        <v>0</v>
      </c>
      <c r="AE84" s="60">
        <f t="shared" si="1"/>
        <v>0</v>
      </c>
      <c r="AF84" s="60">
        <f t="shared" si="1"/>
        <v>0</v>
      </c>
      <c r="AG84" s="60" t="s">
        <v>721</v>
      </c>
      <c r="AH84" s="7"/>
      <c r="AI84" s="7"/>
      <c r="AJ84" s="95" t="s">
        <v>722</v>
      </c>
    </row>
    <row r="85" spans="2:40" ht="70.5" customHeight="1" x14ac:dyDescent="0.2">
      <c r="B85" s="13" t="s">
        <v>65</v>
      </c>
      <c r="C85" s="21" t="s">
        <v>66</v>
      </c>
      <c r="D85" s="21">
        <v>2220</v>
      </c>
      <c r="E85" s="59"/>
      <c r="F85" s="7"/>
      <c r="G85" s="7">
        <f t="shared" ref="G85:G117" si="2">E85+F85</f>
        <v>0</v>
      </c>
      <c r="H85" s="7"/>
      <c r="I85" s="60"/>
      <c r="J85" s="7"/>
      <c r="K85" s="7"/>
      <c r="L85" s="7"/>
      <c r="M85" s="67"/>
      <c r="N85" s="7">
        <v>1542</v>
      </c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 t="s">
        <v>723</v>
      </c>
      <c r="AH85" s="7"/>
      <c r="AI85" s="7"/>
      <c r="AJ85" s="18" t="s">
        <v>650</v>
      </c>
    </row>
    <row r="86" spans="2:40" ht="55.5" customHeight="1" x14ac:dyDescent="0.2">
      <c r="B86" s="13" t="s">
        <v>67</v>
      </c>
      <c r="C86" s="15" t="s">
        <v>68</v>
      </c>
      <c r="D86" s="21">
        <v>2220</v>
      </c>
      <c r="E86" s="7">
        <v>300</v>
      </c>
      <c r="F86" s="7"/>
      <c r="G86" s="7">
        <f t="shared" si="2"/>
        <v>300</v>
      </c>
      <c r="H86" s="93"/>
      <c r="I86" s="7"/>
      <c r="J86" s="7"/>
      <c r="K86" s="7"/>
      <c r="L86" s="7"/>
      <c r="M86" s="9"/>
      <c r="N86" s="7"/>
      <c r="O86" s="7">
        <v>600</v>
      </c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>
        <f>305.18-619.13+307.86</f>
        <v>-6.089999999999975</v>
      </c>
      <c r="AB86" s="7"/>
      <c r="AC86" s="7"/>
      <c r="AD86" s="7"/>
      <c r="AE86" s="7"/>
      <c r="AF86" s="7"/>
      <c r="AG86" s="7" t="s">
        <v>555</v>
      </c>
      <c r="AH86" s="7"/>
      <c r="AI86" s="7"/>
      <c r="AJ86" s="18" t="s">
        <v>651</v>
      </c>
      <c r="AM86" s="2"/>
      <c r="AN86" s="2"/>
    </row>
    <row r="87" spans="2:40" ht="116.25" customHeight="1" x14ac:dyDescent="0.2">
      <c r="B87" s="13" t="s">
        <v>142</v>
      </c>
      <c r="C87" s="15" t="s">
        <v>143</v>
      </c>
      <c r="D87" s="21">
        <v>2220</v>
      </c>
      <c r="E87" s="7">
        <v>17000</v>
      </c>
      <c r="F87" s="7"/>
      <c r="G87" s="7">
        <f t="shared" si="2"/>
        <v>17000</v>
      </c>
      <c r="H87" s="93"/>
      <c r="I87" s="7"/>
      <c r="J87" s="7"/>
      <c r="K87" s="7"/>
      <c r="L87" s="7">
        <v>1372</v>
      </c>
      <c r="M87" s="9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>
        <v>21457.8</v>
      </c>
      <c r="Z87" s="7"/>
      <c r="AA87" s="7"/>
      <c r="AB87" s="7"/>
      <c r="AC87" s="7"/>
      <c r="AD87" s="7"/>
      <c r="AE87" s="7"/>
      <c r="AF87" s="7"/>
      <c r="AG87" s="7" t="s">
        <v>586</v>
      </c>
      <c r="AH87" s="7"/>
      <c r="AI87" s="7"/>
      <c r="AJ87" s="18" t="s">
        <v>652</v>
      </c>
      <c r="AM87" s="2"/>
      <c r="AN87" s="2"/>
    </row>
    <row r="88" spans="2:40" ht="76.5" customHeight="1" x14ac:dyDescent="0.2">
      <c r="B88" s="13" t="s">
        <v>439</v>
      </c>
      <c r="C88" s="15" t="s">
        <v>50</v>
      </c>
      <c r="D88" s="21">
        <v>2220</v>
      </c>
      <c r="E88" s="7">
        <v>2000</v>
      </c>
      <c r="F88" s="7"/>
      <c r="G88" s="7">
        <f t="shared" si="2"/>
        <v>2000</v>
      </c>
      <c r="H88" s="93"/>
      <c r="I88" s="7"/>
      <c r="J88" s="7"/>
      <c r="K88" s="7"/>
      <c r="L88" s="7"/>
      <c r="M88" s="9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>
        <f>-709.05+933.02</f>
        <v>223.97000000000003</v>
      </c>
      <c r="AB88" s="7"/>
      <c r="AC88" s="7"/>
      <c r="AD88" s="7"/>
      <c r="AE88" s="7"/>
      <c r="AF88" s="7"/>
      <c r="AG88" s="7" t="s">
        <v>587</v>
      </c>
      <c r="AH88" s="7"/>
      <c r="AI88" s="7"/>
      <c r="AJ88" s="18" t="s">
        <v>653</v>
      </c>
      <c r="AM88" s="2"/>
      <c r="AN88" s="2"/>
    </row>
    <row r="89" spans="2:40" ht="78" customHeight="1" x14ac:dyDescent="0.2">
      <c r="B89" s="13" t="s">
        <v>440</v>
      </c>
      <c r="C89" s="15" t="s">
        <v>441</v>
      </c>
      <c r="D89" s="21">
        <v>2220</v>
      </c>
      <c r="E89" s="7">
        <v>500</v>
      </c>
      <c r="F89" s="7"/>
      <c r="G89" s="7">
        <f t="shared" si="2"/>
        <v>500</v>
      </c>
      <c r="H89" s="93"/>
      <c r="I89" s="7"/>
      <c r="J89" s="7"/>
      <c r="K89" s="7"/>
      <c r="L89" s="7">
        <v>835</v>
      </c>
      <c r="M89" s="9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 t="s">
        <v>588</v>
      </c>
      <c r="AH89" s="7"/>
      <c r="AI89" s="7"/>
      <c r="AJ89" s="18" t="s">
        <v>654</v>
      </c>
      <c r="AM89" s="2"/>
      <c r="AN89" s="2"/>
    </row>
    <row r="90" spans="2:40" ht="78.75" customHeight="1" x14ac:dyDescent="0.2">
      <c r="B90" s="13" t="s">
        <v>70</v>
      </c>
      <c r="C90" s="15" t="s">
        <v>71</v>
      </c>
      <c r="D90" s="21">
        <v>2220</v>
      </c>
      <c r="E90" s="7">
        <v>99000</v>
      </c>
      <c r="F90" s="7"/>
      <c r="G90" s="7">
        <f t="shared" si="2"/>
        <v>99000</v>
      </c>
      <c r="H90" s="93"/>
      <c r="I90" s="7"/>
      <c r="J90" s="7"/>
      <c r="K90" s="7"/>
      <c r="L90" s="7">
        <v>-17945.7</v>
      </c>
      <c r="M90" s="9"/>
      <c r="N90" s="7"/>
      <c r="O90" s="7"/>
      <c r="P90" s="7"/>
      <c r="Q90" s="7"/>
      <c r="R90" s="7"/>
      <c r="S90" s="20" t="s">
        <v>442</v>
      </c>
      <c r="T90" s="7"/>
      <c r="U90" s="7"/>
      <c r="V90" s="7"/>
      <c r="W90" s="7"/>
      <c r="X90" s="7"/>
      <c r="Y90" s="7"/>
      <c r="Z90" s="7"/>
      <c r="AA90" s="7">
        <f>8346.02+205.44</f>
        <v>8551.4600000000009</v>
      </c>
      <c r="AB90" s="7"/>
      <c r="AC90" s="7"/>
      <c r="AD90" s="7"/>
      <c r="AE90" s="7"/>
      <c r="AF90" s="7"/>
      <c r="AG90" s="7" t="s">
        <v>589</v>
      </c>
      <c r="AH90" s="7"/>
      <c r="AI90" s="7"/>
      <c r="AJ90" s="18" t="s">
        <v>655</v>
      </c>
      <c r="AM90" s="2"/>
      <c r="AN90" s="2"/>
    </row>
    <row r="91" spans="2:40" ht="78" customHeight="1" x14ac:dyDescent="0.2">
      <c r="B91" s="13" t="s">
        <v>72</v>
      </c>
      <c r="C91" s="15" t="s">
        <v>73</v>
      </c>
      <c r="D91" s="21">
        <v>2220</v>
      </c>
      <c r="E91" s="7">
        <v>10700</v>
      </c>
      <c r="F91" s="7"/>
      <c r="G91" s="7">
        <f t="shared" si="2"/>
        <v>10700</v>
      </c>
      <c r="H91" s="93"/>
      <c r="I91" s="7"/>
      <c r="J91" s="7"/>
      <c r="K91" s="7"/>
      <c r="L91" s="7"/>
      <c r="M91" s="9"/>
      <c r="N91" s="7"/>
      <c r="O91" s="7"/>
      <c r="P91" s="7"/>
      <c r="Q91" s="7"/>
      <c r="R91" s="7"/>
      <c r="S91" s="7"/>
      <c r="T91" s="7"/>
      <c r="U91" s="7">
        <v>-6000</v>
      </c>
      <c r="V91" s="7"/>
      <c r="W91" s="7"/>
      <c r="X91" s="7"/>
      <c r="Y91" s="7"/>
      <c r="Z91" s="7"/>
      <c r="AA91" s="7">
        <f>4251.1+1492.65</f>
        <v>5743.75</v>
      </c>
      <c r="AB91" s="7"/>
      <c r="AC91" s="7"/>
      <c r="AD91" s="7"/>
      <c r="AE91" s="7"/>
      <c r="AF91" s="7"/>
      <c r="AG91" s="7" t="s">
        <v>590</v>
      </c>
      <c r="AH91" s="7"/>
      <c r="AI91" s="7"/>
      <c r="AJ91" s="18" t="s">
        <v>656</v>
      </c>
      <c r="AM91" s="2"/>
      <c r="AN91" s="2"/>
    </row>
    <row r="92" spans="2:40" ht="49.5" customHeight="1" x14ac:dyDescent="0.2">
      <c r="B92" s="13" t="s">
        <v>52</v>
      </c>
      <c r="C92" s="15" t="s">
        <v>53</v>
      </c>
      <c r="D92" s="21">
        <v>2220</v>
      </c>
      <c r="E92" s="7">
        <v>100</v>
      </c>
      <c r="F92" s="7"/>
      <c r="G92" s="7">
        <f t="shared" si="2"/>
        <v>100</v>
      </c>
      <c r="H92" s="93"/>
      <c r="I92" s="7"/>
      <c r="J92" s="7"/>
      <c r="K92" s="7"/>
      <c r="L92" s="7"/>
      <c r="M92" s="9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>
        <v>-100</v>
      </c>
      <c r="AB92" s="7"/>
      <c r="AC92" s="7"/>
      <c r="AD92" s="7"/>
      <c r="AE92" s="7"/>
      <c r="AF92" s="7"/>
      <c r="AG92" s="7" t="s">
        <v>591</v>
      </c>
      <c r="AH92" s="7"/>
      <c r="AI92" s="7"/>
      <c r="AJ92" s="18" t="s">
        <v>657</v>
      </c>
      <c r="AM92" s="2"/>
      <c r="AN92" s="2"/>
    </row>
    <row r="93" spans="2:40" ht="79.5" customHeight="1" x14ac:dyDescent="0.2">
      <c r="B93" s="13" t="s">
        <v>74</v>
      </c>
      <c r="C93" s="15" t="s">
        <v>75</v>
      </c>
      <c r="D93" s="21">
        <v>2220</v>
      </c>
      <c r="E93" s="7">
        <v>56000</v>
      </c>
      <c r="F93" s="7"/>
      <c r="G93" s="7">
        <f t="shared" si="2"/>
        <v>56000</v>
      </c>
      <c r="H93" s="93"/>
      <c r="I93" s="7"/>
      <c r="J93" s="7"/>
      <c r="K93" s="7"/>
      <c r="L93" s="7"/>
      <c r="M93" s="9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>
        <v>16867.810000000001</v>
      </c>
      <c r="AB93" s="7"/>
      <c r="AC93" s="7"/>
      <c r="AD93" s="7"/>
      <c r="AE93" s="7"/>
      <c r="AF93" s="7"/>
      <c r="AG93" s="7" t="s">
        <v>592</v>
      </c>
      <c r="AH93" s="2"/>
      <c r="AI93" s="7"/>
      <c r="AJ93" s="18" t="s">
        <v>658</v>
      </c>
      <c r="AM93" s="2"/>
      <c r="AN93" s="2"/>
    </row>
    <row r="94" spans="2:40" ht="64.5" customHeight="1" x14ac:dyDescent="0.2">
      <c r="B94" s="13" t="s">
        <v>443</v>
      </c>
      <c r="C94" s="15" t="s">
        <v>252</v>
      </c>
      <c r="D94" s="21">
        <v>2220</v>
      </c>
      <c r="E94" s="7">
        <v>8000</v>
      </c>
      <c r="F94" s="7"/>
      <c r="G94" s="7">
        <f t="shared" si="2"/>
        <v>8000</v>
      </c>
      <c r="H94" s="93"/>
      <c r="I94" s="7"/>
      <c r="J94" s="7"/>
      <c r="K94" s="7"/>
      <c r="L94" s="7"/>
      <c r="M94" s="9"/>
      <c r="N94" s="7"/>
      <c r="O94" s="7"/>
      <c r="P94" s="7"/>
      <c r="Q94" s="7"/>
      <c r="R94" s="7"/>
      <c r="S94" s="7"/>
      <c r="T94" s="7"/>
      <c r="U94" s="7">
        <v>1869.29</v>
      </c>
      <c r="V94" s="7"/>
      <c r="W94" s="7"/>
      <c r="X94" s="7"/>
      <c r="Y94" s="7"/>
      <c r="Z94" s="7"/>
      <c r="AA94" s="7">
        <v>16922.05</v>
      </c>
      <c r="AB94" s="7"/>
      <c r="AC94" s="7"/>
      <c r="AD94" s="7"/>
      <c r="AE94" s="7"/>
      <c r="AF94" s="7"/>
      <c r="AG94" s="7" t="s">
        <v>593</v>
      </c>
      <c r="AH94" s="7"/>
      <c r="AI94" s="7"/>
      <c r="AJ94" s="18" t="s">
        <v>659</v>
      </c>
      <c r="AM94" s="2"/>
      <c r="AN94" s="2"/>
    </row>
    <row r="95" spans="2:40" ht="64.5" customHeight="1" x14ac:dyDescent="0.2">
      <c r="B95" s="13" t="s">
        <v>444</v>
      </c>
      <c r="C95" s="15" t="s">
        <v>445</v>
      </c>
      <c r="D95" s="21">
        <v>2220</v>
      </c>
      <c r="E95" s="7">
        <v>24000</v>
      </c>
      <c r="F95" s="7"/>
      <c r="G95" s="7">
        <f t="shared" si="2"/>
        <v>24000</v>
      </c>
      <c r="H95" s="93"/>
      <c r="I95" s="7"/>
      <c r="J95" s="7"/>
      <c r="K95" s="7"/>
      <c r="L95" s="7"/>
      <c r="M95" s="9"/>
      <c r="N95" s="7"/>
      <c r="O95" s="7"/>
      <c r="P95" s="7"/>
      <c r="Q95" s="7"/>
      <c r="R95" s="7"/>
      <c r="S95" s="7"/>
      <c r="T95" s="7"/>
      <c r="U95" s="7">
        <v>-5254.85</v>
      </c>
      <c r="V95" s="7"/>
      <c r="W95" s="7"/>
      <c r="X95" s="7"/>
      <c r="Y95" s="7"/>
      <c r="Z95" s="7"/>
      <c r="AA95" s="7">
        <f>-4985.89+995.1</f>
        <v>-3990.7900000000004</v>
      </c>
      <c r="AB95" s="7"/>
      <c r="AC95" s="7"/>
      <c r="AD95" s="7"/>
      <c r="AE95" s="7"/>
      <c r="AF95" s="7"/>
      <c r="AG95" s="7" t="s">
        <v>594</v>
      </c>
      <c r="AH95" s="7"/>
      <c r="AI95" s="7"/>
      <c r="AJ95" s="18" t="s">
        <v>660</v>
      </c>
      <c r="AM95" s="2"/>
      <c r="AN95" s="2"/>
    </row>
    <row r="96" spans="2:40" ht="64.5" customHeight="1" x14ac:dyDescent="0.2">
      <c r="B96" s="13" t="s">
        <v>77</v>
      </c>
      <c r="C96" s="15" t="s">
        <v>78</v>
      </c>
      <c r="D96" s="21">
        <v>2220</v>
      </c>
      <c r="E96" s="7">
        <v>40000</v>
      </c>
      <c r="F96" s="7"/>
      <c r="G96" s="7">
        <f t="shared" si="2"/>
        <v>40000</v>
      </c>
      <c r="H96" s="93"/>
      <c r="I96" s="7"/>
      <c r="J96" s="7"/>
      <c r="K96" s="7"/>
      <c r="L96" s="7"/>
      <c r="M96" s="9"/>
      <c r="N96" s="7"/>
      <c r="O96" s="7"/>
      <c r="P96" s="7"/>
      <c r="Q96" s="7"/>
      <c r="R96" s="7"/>
      <c r="S96" s="7"/>
      <c r="T96" s="7"/>
      <c r="U96" s="7">
        <v>72.069999999999993</v>
      </c>
      <c r="V96" s="7"/>
      <c r="W96" s="7"/>
      <c r="X96" s="7"/>
      <c r="Y96" s="7"/>
      <c r="Z96" s="7"/>
      <c r="AA96" s="7">
        <v>2557.64</v>
      </c>
      <c r="AB96" s="7"/>
      <c r="AC96" s="7"/>
      <c r="AD96" s="7"/>
      <c r="AE96" s="7"/>
      <c r="AF96" s="7"/>
      <c r="AG96" s="7" t="s">
        <v>595</v>
      </c>
      <c r="AH96" s="7"/>
      <c r="AI96" s="7"/>
      <c r="AJ96" s="18" t="s">
        <v>661</v>
      </c>
      <c r="AM96" s="2"/>
      <c r="AN96" s="2"/>
    </row>
    <row r="97" spans="2:40" ht="64.5" customHeight="1" x14ac:dyDescent="0.2">
      <c r="B97" s="13" t="s">
        <v>446</v>
      </c>
      <c r="C97" s="15" t="s">
        <v>447</v>
      </c>
      <c r="D97" s="21">
        <v>2220</v>
      </c>
      <c r="E97" s="7">
        <v>200</v>
      </c>
      <c r="F97" s="7"/>
      <c r="G97" s="7">
        <f t="shared" si="2"/>
        <v>200</v>
      </c>
      <c r="H97" s="93"/>
      <c r="I97" s="7"/>
      <c r="J97" s="7"/>
      <c r="K97" s="7"/>
      <c r="L97" s="7"/>
      <c r="M97" s="9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>
        <v>-200</v>
      </c>
      <c r="AB97" s="7"/>
      <c r="AC97" s="7"/>
      <c r="AD97" s="7"/>
      <c r="AE97" s="7"/>
      <c r="AF97" s="7"/>
      <c r="AG97" s="7" t="s">
        <v>596</v>
      </c>
      <c r="AH97" s="7"/>
      <c r="AI97" s="7"/>
      <c r="AJ97" s="18" t="s">
        <v>662</v>
      </c>
      <c r="AM97" s="2"/>
      <c r="AN97" s="2"/>
    </row>
    <row r="98" spans="2:40" ht="52.5" customHeight="1" x14ac:dyDescent="0.2">
      <c r="B98" s="13" t="s">
        <v>387</v>
      </c>
      <c r="C98" s="15" t="s">
        <v>388</v>
      </c>
      <c r="D98" s="21">
        <v>2220</v>
      </c>
      <c r="E98" s="7">
        <v>700</v>
      </c>
      <c r="F98" s="7"/>
      <c r="G98" s="7">
        <f t="shared" si="2"/>
        <v>700</v>
      </c>
      <c r="H98" s="93"/>
      <c r="I98" s="7"/>
      <c r="J98" s="7"/>
      <c r="K98" s="7"/>
      <c r="L98" s="7"/>
      <c r="M98" s="9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>
        <f>-253.81+254.66</f>
        <v>0.84999999999999432</v>
      </c>
      <c r="AB98" s="7"/>
      <c r="AC98" s="7"/>
      <c r="AD98" s="7"/>
      <c r="AE98" s="7"/>
      <c r="AF98" s="7"/>
      <c r="AG98" s="7" t="s">
        <v>597</v>
      </c>
      <c r="AH98" s="7"/>
      <c r="AI98" s="7"/>
      <c r="AJ98" s="18" t="s">
        <v>663</v>
      </c>
      <c r="AM98" s="2"/>
      <c r="AN98" s="2"/>
    </row>
    <row r="99" spans="2:40" ht="117.75" customHeight="1" x14ac:dyDescent="0.2">
      <c r="B99" s="13" t="s">
        <v>448</v>
      </c>
      <c r="C99" s="15" t="s">
        <v>449</v>
      </c>
      <c r="D99" s="21">
        <v>2220</v>
      </c>
      <c r="E99" s="7">
        <v>3000</v>
      </c>
      <c r="F99" s="7"/>
      <c r="G99" s="7">
        <f t="shared" si="2"/>
        <v>3000</v>
      </c>
      <c r="H99" s="93"/>
      <c r="I99" s="7"/>
      <c r="J99" s="7"/>
      <c r="K99" s="7"/>
      <c r="L99" s="7">
        <v>5050</v>
      </c>
      <c r="M99" s="9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 t="s">
        <v>598</v>
      </c>
      <c r="AH99" s="7"/>
      <c r="AI99" s="7"/>
      <c r="AJ99" s="18" t="s">
        <v>664</v>
      </c>
      <c r="AM99" s="2"/>
      <c r="AN99" s="2"/>
    </row>
    <row r="100" spans="2:40" ht="91.5" customHeight="1" x14ac:dyDescent="0.2">
      <c r="B100" s="13" t="s">
        <v>450</v>
      </c>
      <c r="C100" s="15" t="s">
        <v>451</v>
      </c>
      <c r="D100" s="21">
        <v>2220</v>
      </c>
      <c r="E100" s="7">
        <v>2000</v>
      </c>
      <c r="F100" s="7"/>
      <c r="G100" s="7">
        <f t="shared" si="2"/>
        <v>2000</v>
      </c>
      <c r="H100" s="93"/>
      <c r="I100" s="7"/>
      <c r="J100" s="7"/>
      <c r="K100" s="7"/>
      <c r="L100" s="7">
        <v>20688.7</v>
      </c>
      <c r="M100" s="9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>
        <v>6831</v>
      </c>
      <c r="Z100" s="7"/>
      <c r="AA100" s="7"/>
      <c r="AB100" s="7"/>
      <c r="AC100" s="7"/>
      <c r="AD100" s="7"/>
      <c r="AE100" s="7"/>
      <c r="AF100" s="7"/>
      <c r="AG100" s="7" t="s">
        <v>599</v>
      </c>
      <c r="AH100" s="7"/>
      <c r="AI100" s="7"/>
      <c r="AJ100" s="18" t="s">
        <v>665</v>
      </c>
      <c r="AM100" s="2"/>
      <c r="AN100" s="2"/>
    </row>
    <row r="101" spans="2:40" ht="57.75" customHeight="1" x14ac:dyDescent="0.2">
      <c r="B101" s="13" t="s">
        <v>79</v>
      </c>
      <c r="C101" s="15" t="s">
        <v>80</v>
      </c>
      <c r="D101" s="21">
        <v>2220</v>
      </c>
      <c r="E101" s="7">
        <v>2000</v>
      </c>
      <c r="F101" s="7"/>
      <c r="G101" s="7">
        <f t="shared" si="2"/>
        <v>2000</v>
      </c>
      <c r="H101" s="93"/>
      <c r="I101" s="7"/>
      <c r="J101" s="7"/>
      <c r="K101" s="7"/>
      <c r="L101" s="7"/>
      <c r="M101" s="9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>
        <v>6926</v>
      </c>
      <c r="AB101" s="7"/>
      <c r="AC101" s="7"/>
      <c r="AD101" s="7"/>
      <c r="AE101" s="7"/>
      <c r="AF101" s="7"/>
      <c r="AG101" s="7" t="s">
        <v>553</v>
      </c>
      <c r="AH101" s="7"/>
      <c r="AI101" s="7"/>
      <c r="AJ101" s="18" t="s">
        <v>666</v>
      </c>
      <c r="AM101" s="2"/>
      <c r="AN101" s="2"/>
    </row>
    <row r="102" spans="2:40" ht="63.75" customHeight="1" x14ac:dyDescent="0.2">
      <c r="B102" s="13" t="s">
        <v>81</v>
      </c>
      <c r="C102" s="15" t="s">
        <v>82</v>
      </c>
      <c r="D102" s="21">
        <v>2220</v>
      </c>
      <c r="E102" s="7">
        <v>60000</v>
      </c>
      <c r="F102" s="7"/>
      <c r="G102" s="7">
        <f t="shared" si="2"/>
        <v>60000</v>
      </c>
      <c r="H102" s="93"/>
      <c r="I102" s="7"/>
      <c r="J102" s="7"/>
      <c r="K102" s="7"/>
      <c r="L102" s="7"/>
      <c r="M102" s="7">
        <v>16000</v>
      </c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>
        <v>-28288.799999999999</v>
      </c>
      <c r="Z102" s="7"/>
      <c r="AA102" s="7">
        <f>-20542.04+3299.99</f>
        <v>-17242.050000000003</v>
      </c>
      <c r="AB102" s="7"/>
      <c r="AC102" s="7"/>
      <c r="AD102" s="7"/>
      <c r="AE102" s="7"/>
      <c r="AF102" s="7"/>
      <c r="AG102" s="7" t="s">
        <v>600</v>
      </c>
      <c r="AH102" s="7"/>
      <c r="AI102" s="7"/>
      <c r="AJ102" s="18" t="s">
        <v>667</v>
      </c>
      <c r="AM102" s="2"/>
      <c r="AN102" s="2"/>
    </row>
    <row r="103" spans="2:40" ht="59.25" customHeight="1" x14ac:dyDescent="0.2">
      <c r="B103" s="13" t="s">
        <v>452</v>
      </c>
      <c r="C103" s="15" t="s">
        <v>453</v>
      </c>
      <c r="D103" s="21">
        <v>2220</v>
      </c>
      <c r="E103" s="7">
        <v>2000</v>
      </c>
      <c r="F103" s="7"/>
      <c r="G103" s="7">
        <f t="shared" si="2"/>
        <v>2000</v>
      </c>
      <c r="H103" s="93"/>
      <c r="I103" s="7"/>
      <c r="J103" s="7"/>
      <c r="K103" s="7"/>
      <c r="L103" s="7"/>
      <c r="M103" s="9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>
        <v>-1126.9100000000001</v>
      </c>
      <c r="AB103" s="7"/>
      <c r="AC103" s="7"/>
      <c r="AD103" s="7"/>
      <c r="AE103" s="7"/>
      <c r="AF103" s="7"/>
      <c r="AG103" s="7" t="s">
        <v>555</v>
      </c>
      <c r="AH103" s="7"/>
      <c r="AI103" s="7"/>
      <c r="AJ103" s="18" t="s">
        <v>668</v>
      </c>
      <c r="AM103" s="2"/>
      <c r="AN103" s="2"/>
    </row>
    <row r="104" spans="2:40" ht="78" customHeight="1" x14ac:dyDescent="0.2">
      <c r="B104" s="13" t="s">
        <v>83</v>
      </c>
      <c r="C104" s="15" t="s">
        <v>84</v>
      </c>
      <c r="D104" s="21">
        <v>2220</v>
      </c>
      <c r="E104" s="7">
        <v>65000</v>
      </c>
      <c r="F104" s="7"/>
      <c r="G104" s="7">
        <f t="shared" si="2"/>
        <v>65000</v>
      </c>
      <c r="H104" s="93"/>
      <c r="I104" s="7"/>
      <c r="J104" s="7">
        <v>-2846</v>
      </c>
      <c r="K104" s="7"/>
      <c r="L104" s="7"/>
      <c r="M104" s="9"/>
      <c r="N104" s="7"/>
      <c r="O104" s="7"/>
      <c r="P104" s="7"/>
      <c r="Q104" s="7"/>
      <c r="R104" s="7"/>
      <c r="S104" s="20" t="s">
        <v>454</v>
      </c>
      <c r="T104" s="7"/>
      <c r="U104" s="7">
        <v>14516.65</v>
      </c>
      <c r="V104" s="7"/>
      <c r="W104" s="7"/>
      <c r="X104" s="7"/>
      <c r="Y104" s="7"/>
      <c r="Z104" s="7"/>
      <c r="AA104" s="7">
        <f>-0.33-10.23-642.02</f>
        <v>-652.57999999999993</v>
      </c>
      <c r="AB104" s="7"/>
      <c r="AC104" s="7"/>
      <c r="AD104" s="7"/>
      <c r="AE104" s="7"/>
      <c r="AF104" s="7"/>
      <c r="AG104" s="7" t="s">
        <v>593</v>
      </c>
      <c r="AH104" s="7"/>
      <c r="AI104" s="7"/>
      <c r="AJ104" s="18" t="s">
        <v>669</v>
      </c>
      <c r="AM104" s="2"/>
      <c r="AN104" s="2"/>
    </row>
    <row r="105" spans="2:40" ht="77.25" customHeight="1" x14ac:dyDescent="0.2">
      <c r="B105" s="13" t="s">
        <v>85</v>
      </c>
      <c r="C105" s="15" t="s">
        <v>86</v>
      </c>
      <c r="D105" s="21">
        <v>2220</v>
      </c>
      <c r="E105" s="7">
        <v>10200</v>
      </c>
      <c r="F105" s="7"/>
      <c r="G105" s="7">
        <f t="shared" si="2"/>
        <v>10200</v>
      </c>
      <c r="H105" s="93"/>
      <c r="I105" s="7"/>
      <c r="J105" s="7">
        <v>470</v>
      </c>
      <c r="K105" s="7"/>
      <c r="L105" s="7"/>
      <c r="M105" s="9"/>
      <c r="N105" s="7"/>
      <c r="O105" s="7"/>
      <c r="P105" s="7"/>
      <c r="Q105" s="7"/>
      <c r="R105" s="7"/>
      <c r="S105" s="20" t="s">
        <v>455</v>
      </c>
      <c r="T105" s="7"/>
      <c r="U105" s="7">
        <v>8665.98</v>
      </c>
      <c r="V105" s="7"/>
      <c r="W105" s="7"/>
      <c r="X105" s="7"/>
      <c r="Y105" s="7"/>
      <c r="Z105" s="7"/>
      <c r="AA105" s="7">
        <f>244.76-0.45</f>
        <v>244.31</v>
      </c>
      <c r="AB105" s="7"/>
      <c r="AC105" s="7"/>
      <c r="AD105" s="7"/>
      <c r="AE105" s="7"/>
      <c r="AF105" s="7"/>
      <c r="AG105" s="7" t="s">
        <v>601</v>
      </c>
      <c r="AH105" s="7"/>
      <c r="AI105" s="7"/>
      <c r="AJ105" s="18" t="s">
        <v>670</v>
      </c>
      <c r="AM105" s="2"/>
      <c r="AN105" s="2"/>
    </row>
    <row r="106" spans="2:40" ht="79.5" customHeight="1" x14ac:dyDescent="0.2">
      <c r="B106" s="13" t="s">
        <v>87</v>
      </c>
      <c r="C106" s="15" t="s">
        <v>88</v>
      </c>
      <c r="D106" s="21">
        <v>2220</v>
      </c>
      <c r="E106" s="7">
        <v>1500</v>
      </c>
      <c r="F106" s="7"/>
      <c r="G106" s="7">
        <f t="shared" si="2"/>
        <v>1500</v>
      </c>
      <c r="H106" s="93"/>
      <c r="I106" s="7"/>
      <c r="J106" s="7">
        <v>2376</v>
      </c>
      <c r="K106" s="7"/>
      <c r="L106" s="7"/>
      <c r="M106" s="9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>
        <f>-680.38-6.94</f>
        <v>-687.32</v>
      </c>
      <c r="AB106" s="7"/>
      <c r="AC106" s="7"/>
      <c r="AD106" s="7"/>
      <c r="AE106" s="7"/>
      <c r="AF106" s="7"/>
      <c r="AG106" s="7" t="s">
        <v>602</v>
      </c>
      <c r="AH106" s="7"/>
      <c r="AI106" s="7"/>
      <c r="AJ106" s="18" t="s">
        <v>671</v>
      </c>
      <c r="AM106" s="2"/>
      <c r="AN106" s="2"/>
    </row>
    <row r="107" spans="2:40" ht="89.25" customHeight="1" x14ac:dyDescent="0.2">
      <c r="B107" s="13" t="s">
        <v>89</v>
      </c>
      <c r="C107" s="15" t="s">
        <v>90</v>
      </c>
      <c r="D107" s="21">
        <v>2220</v>
      </c>
      <c r="E107" s="7">
        <v>99800</v>
      </c>
      <c r="F107" s="59"/>
      <c r="G107" s="7">
        <f t="shared" si="2"/>
        <v>99800</v>
      </c>
      <c r="H107" s="93"/>
      <c r="I107" s="7"/>
      <c r="J107" s="7"/>
      <c r="K107" s="7"/>
      <c r="L107" s="7"/>
      <c r="M107" s="7">
        <f>-16000+6446.7</f>
        <v>-9553.2999999999993</v>
      </c>
      <c r="N107" s="7">
        <v>-1542</v>
      </c>
      <c r="O107" s="7">
        <v>-1474</v>
      </c>
      <c r="P107" s="7"/>
      <c r="Q107" s="7"/>
      <c r="R107" s="7"/>
      <c r="S107" s="20" t="s">
        <v>456</v>
      </c>
      <c r="T107" s="63">
        <v>1139.44</v>
      </c>
      <c r="U107" s="63">
        <v>3708.14</v>
      </c>
      <c r="V107" s="20"/>
      <c r="W107" s="20"/>
      <c r="X107" s="7"/>
      <c r="Y107" s="7"/>
      <c r="Z107" s="7"/>
      <c r="AA107" s="7">
        <f>-7460.92-3.93+1003.75+6456.7</f>
        <v>-4.4000000000005457</v>
      </c>
      <c r="AB107" s="7"/>
      <c r="AC107" s="7"/>
      <c r="AD107" s="7"/>
      <c r="AE107" s="7"/>
      <c r="AF107" s="7"/>
      <c r="AG107" s="7" t="s">
        <v>603</v>
      </c>
      <c r="AH107" s="7"/>
      <c r="AI107" s="7"/>
      <c r="AJ107" s="18" t="s">
        <v>672</v>
      </c>
      <c r="AM107" s="56"/>
      <c r="AN107" s="2"/>
    </row>
    <row r="108" spans="2:40" ht="79.5" customHeight="1" x14ac:dyDescent="0.2">
      <c r="B108" s="13" t="s">
        <v>91</v>
      </c>
      <c r="C108" s="15" t="s">
        <v>92</v>
      </c>
      <c r="D108" s="21">
        <v>2220</v>
      </c>
      <c r="E108" s="7">
        <v>36000</v>
      </c>
      <c r="F108" s="7"/>
      <c r="G108" s="7">
        <f t="shared" si="2"/>
        <v>36000</v>
      </c>
      <c r="H108" s="93"/>
      <c r="I108" s="60">
        <v>28293.200000000001</v>
      </c>
      <c r="J108" s="7"/>
      <c r="K108" s="7"/>
      <c r="L108" s="7"/>
      <c r="M108" s="9"/>
      <c r="N108" s="7"/>
      <c r="O108" s="20" t="s">
        <v>458</v>
      </c>
      <c r="P108" s="7"/>
      <c r="Q108" s="7"/>
      <c r="R108" s="20" t="s">
        <v>459</v>
      </c>
      <c r="S108" s="7"/>
      <c r="T108" s="7"/>
      <c r="U108" s="7">
        <v>4522.57</v>
      </c>
      <c r="V108" s="7"/>
      <c r="W108" s="7"/>
      <c r="X108" s="20" t="s">
        <v>460</v>
      </c>
      <c r="Y108" s="7"/>
      <c r="Z108" s="7"/>
      <c r="AA108" s="7">
        <f>-53971.77+769.44-1007.44+53971.22</f>
        <v>-238.54999999999563</v>
      </c>
      <c r="AB108" s="7"/>
      <c r="AC108" s="7"/>
      <c r="AD108" s="7"/>
      <c r="AE108" s="7"/>
      <c r="AF108" s="7"/>
      <c r="AG108" s="7" t="s">
        <v>546</v>
      </c>
      <c r="AH108" s="7"/>
      <c r="AI108" s="7"/>
      <c r="AJ108" s="18" t="s">
        <v>659</v>
      </c>
      <c r="AM108" s="56"/>
      <c r="AN108" s="2"/>
    </row>
    <row r="109" spans="2:40" s="70" customFormat="1" ht="78.75" customHeight="1" x14ac:dyDescent="0.25">
      <c r="B109" s="13" t="s">
        <v>93</v>
      </c>
      <c r="C109" s="15" t="s">
        <v>94</v>
      </c>
      <c r="D109" s="21">
        <v>2220</v>
      </c>
      <c r="E109" s="7">
        <v>92000</v>
      </c>
      <c r="F109" s="7"/>
      <c r="G109" s="7">
        <f t="shared" si="2"/>
        <v>92000</v>
      </c>
      <c r="H109" s="93"/>
      <c r="I109" s="7"/>
      <c r="J109" s="7"/>
      <c r="K109" s="7"/>
      <c r="L109" s="7"/>
      <c r="M109" s="9"/>
      <c r="N109" s="7"/>
      <c r="O109" s="7"/>
      <c r="P109" s="7"/>
      <c r="Q109" s="7"/>
      <c r="R109" s="7"/>
      <c r="S109" s="7"/>
      <c r="T109" s="63">
        <f>714.23-714.23</f>
        <v>0</v>
      </c>
      <c r="U109" s="7">
        <v>7900.15</v>
      </c>
      <c r="V109" s="7"/>
      <c r="W109" s="7"/>
      <c r="X109" s="7"/>
      <c r="Y109" s="7"/>
      <c r="Z109" s="7"/>
      <c r="AA109" s="7">
        <f>-716.4-1.44+714.23</f>
        <v>-3.6100000000000136</v>
      </c>
      <c r="AB109" s="7"/>
      <c r="AC109" s="7"/>
      <c r="AD109" s="62"/>
      <c r="AE109" s="7"/>
      <c r="AF109" s="7"/>
      <c r="AG109" s="7" t="s">
        <v>604</v>
      </c>
      <c r="AH109" s="7"/>
      <c r="AI109" s="7"/>
      <c r="AJ109" s="18" t="s">
        <v>673</v>
      </c>
      <c r="AM109" s="56"/>
      <c r="AN109" s="121"/>
    </row>
    <row r="110" spans="2:40" ht="59.25" customHeight="1" x14ac:dyDescent="0.2">
      <c r="B110" s="13" t="s">
        <v>95</v>
      </c>
      <c r="C110" s="15" t="s">
        <v>96</v>
      </c>
      <c r="D110" s="21">
        <v>2220</v>
      </c>
      <c r="E110" s="7">
        <v>45000</v>
      </c>
      <c r="F110" s="7"/>
      <c r="G110" s="7">
        <f t="shared" si="2"/>
        <v>45000</v>
      </c>
      <c r="H110" s="93"/>
      <c r="I110" s="7"/>
      <c r="J110" s="7"/>
      <c r="K110" s="7"/>
      <c r="L110" s="7"/>
      <c r="M110" s="9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>
        <v>-10911.91</v>
      </c>
      <c r="AB110" s="7"/>
      <c r="AC110" s="7"/>
      <c r="AD110" s="7"/>
      <c r="AE110" s="7"/>
      <c r="AF110" s="7"/>
      <c r="AG110" s="7" t="s">
        <v>605</v>
      </c>
      <c r="AH110" s="7"/>
      <c r="AI110" s="7"/>
      <c r="AJ110" s="18" t="s">
        <v>674</v>
      </c>
      <c r="AM110" s="2"/>
      <c r="AN110" s="2"/>
    </row>
    <row r="111" spans="2:40" ht="69.75" customHeight="1" x14ac:dyDescent="0.2">
      <c r="B111" s="19" t="s">
        <v>462</v>
      </c>
      <c r="C111" s="15" t="s">
        <v>463</v>
      </c>
      <c r="D111" s="21">
        <v>2220</v>
      </c>
      <c r="E111" s="7"/>
      <c r="F111" s="7"/>
      <c r="G111" s="7"/>
      <c r="H111" s="93"/>
      <c r="I111" s="7"/>
      <c r="J111" s="7"/>
      <c r="K111" s="7"/>
      <c r="L111" s="7">
        <v>2775</v>
      </c>
      <c r="M111" s="9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 t="s">
        <v>606</v>
      </c>
      <c r="AH111" s="7"/>
      <c r="AI111" s="7"/>
      <c r="AJ111" s="18" t="s">
        <v>675</v>
      </c>
      <c r="AM111" s="2"/>
      <c r="AN111" s="2"/>
    </row>
    <row r="112" spans="2:40" ht="117" customHeight="1" x14ac:dyDescent="0.2">
      <c r="B112" s="13" t="s">
        <v>277</v>
      </c>
      <c r="C112" s="15" t="s">
        <v>278</v>
      </c>
      <c r="D112" s="21">
        <v>2220</v>
      </c>
      <c r="E112" s="7">
        <v>30000</v>
      </c>
      <c r="F112" s="7"/>
      <c r="G112" s="7">
        <f t="shared" si="2"/>
        <v>30000</v>
      </c>
      <c r="H112" s="93"/>
      <c r="I112" s="7"/>
      <c r="J112" s="7"/>
      <c r="K112" s="7"/>
      <c r="L112" s="7">
        <v>-220</v>
      </c>
      <c r="M112" s="9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>
        <f>205.44-216.61</f>
        <v>-11.170000000000016</v>
      </c>
      <c r="AB112" s="7"/>
      <c r="AC112" s="7"/>
      <c r="AD112" s="7"/>
      <c r="AE112" s="7"/>
      <c r="AF112" s="7"/>
      <c r="AG112" s="7" t="s">
        <v>607</v>
      </c>
      <c r="AH112" s="7"/>
      <c r="AI112" s="7"/>
      <c r="AJ112" s="18" t="s">
        <v>676</v>
      </c>
      <c r="AM112" s="2"/>
      <c r="AN112" s="2"/>
    </row>
    <row r="113" spans="2:40" ht="76.5" customHeight="1" x14ac:dyDescent="0.2">
      <c r="B113" s="19" t="s">
        <v>464</v>
      </c>
      <c r="C113" s="15" t="s">
        <v>465</v>
      </c>
      <c r="D113" s="21">
        <v>2220</v>
      </c>
      <c r="E113" s="7"/>
      <c r="F113" s="7"/>
      <c r="G113" s="7"/>
      <c r="H113" s="93"/>
      <c r="I113" s="7"/>
      <c r="J113" s="7"/>
      <c r="K113" s="7"/>
      <c r="L113" s="7"/>
      <c r="M113" s="9"/>
      <c r="N113" s="7"/>
      <c r="O113" s="7">
        <v>874</v>
      </c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 t="s">
        <v>555</v>
      </c>
      <c r="AH113" s="7"/>
      <c r="AI113" s="7"/>
      <c r="AJ113" s="18" t="s">
        <v>668</v>
      </c>
      <c r="AM113" s="2"/>
      <c r="AN113" s="2"/>
    </row>
    <row r="114" spans="2:40" ht="58.5" customHeight="1" x14ac:dyDescent="0.2">
      <c r="B114" s="13" t="s">
        <v>288</v>
      </c>
      <c r="C114" s="15" t="s">
        <v>56</v>
      </c>
      <c r="D114" s="21">
        <v>2220</v>
      </c>
      <c r="E114" s="7">
        <v>5000</v>
      </c>
      <c r="F114" s="7"/>
      <c r="G114" s="7">
        <f t="shared" si="2"/>
        <v>5000</v>
      </c>
      <c r="H114" s="93"/>
      <c r="I114" s="7"/>
      <c r="J114" s="7"/>
      <c r="K114" s="7"/>
      <c r="L114" s="8"/>
      <c r="M114" s="9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>
        <v>-4689.7</v>
      </c>
      <c r="AB114" s="7"/>
      <c r="AC114" s="7"/>
      <c r="AD114" s="7"/>
      <c r="AE114" s="7"/>
      <c r="AF114" s="7"/>
      <c r="AG114" s="7" t="s">
        <v>591</v>
      </c>
      <c r="AH114" s="7"/>
      <c r="AI114" s="7"/>
      <c r="AJ114" s="18" t="s">
        <v>657</v>
      </c>
      <c r="AM114" s="2"/>
      <c r="AN114" s="2"/>
    </row>
    <row r="115" spans="2:40" ht="77.25" customHeight="1" x14ac:dyDescent="0.2">
      <c r="B115" s="13" t="s">
        <v>97</v>
      </c>
      <c r="C115" s="15" t="s">
        <v>98</v>
      </c>
      <c r="D115" s="21">
        <v>2220</v>
      </c>
      <c r="E115" s="7">
        <v>2000</v>
      </c>
      <c r="F115" s="7"/>
      <c r="G115" s="7">
        <f t="shared" si="2"/>
        <v>2000</v>
      </c>
      <c r="H115" s="93"/>
      <c r="I115" s="7"/>
      <c r="J115" s="7"/>
      <c r="K115" s="7"/>
      <c r="L115" s="7"/>
      <c r="M115" s="9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>
        <v>-2000</v>
      </c>
      <c r="AB115" s="7"/>
      <c r="AC115" s="7"/>
      <c r="AD115" s="7"/>
      <c r="AE115" s="7"/>
      <c r="AF115" s="7"/>
      <c r="AG115" s="7" t="s">
        <v>555</v>
      </c>
      <c r="AH115" s="7"/>
      <c r="AI115" s="7"/>
      <c r="AJ115" s="18" t="s">
        <v>677</v>
      </c>
      <c r="AM115" s="2"/>
      <c r="AN115" s="2"/>
    </row>
    <row r="116" spans="2:40" ht="76.5" customHeight="1" x14ac:dyDescent="0.2">
      <c r="B116" s="13" t="s">
        <v>466</v>
      </c>
      <c r="C116" s="15" t="s">
        <v>467</v>
      </c>
      <c r="D116" s="21">
        <v>2220</v>
      </c>
      <c r="E116" s="7">
        <v>1000</v>
      </c>
      <c r="F116" s="59"/>
      <c r="G116" s="7">
        <f t="shared" si="2"/>
        <v>1000</v>
      </c>
      <c r="H116" s="33"/>
      <c r="I116" s="8"/>
      <c r="J116" s="8"/>
      <c r="K116" s="8"/>
      <c r="L116" s="8">
        <v>483.02</v>
      </c>
      <c r="M116" s="9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>
        <v>-514.44000000000005</v>
      </c>
      <c r="AB116" s="7"/>
      <c r="AC116" s="7"/>
      <c r="AD116" s="7"/>
      <c r="AE116" s="7"/>
      <c r="AF116" s="7"/>
      <c r="AG116" s="7" t="s">
        <v>608</v>
      </c>
      <c r="AH116" s="7"/>
      <c r="AI116" s="7"/>
      <c r="AJ116" s="18" t="s">
        <v>678</v>
      </c>
      <c r="AM116" s="2"/>
      <c r="AN116" s="2"/>
    </row>
    <row r="117" spans="2:40" ht="91.5" customHeight="1" x14ac:dyDescent="0.2">
      <c r="B117" s="13" t="s">
        <v>366</v>
      </c>
      <c r="C117" s="15" t="s">
        <v>367</v>
      </c>
      <c r="D117" s="21">
        <v>2220</v>
      </c>
      <c r="E117" s="7">
        <v>50000</v>
      </c>
      <c r="F117" s="7"/>
      <c r="G117" s="7">
        <f t="shared" si="2"/>
        <v>50000</v>
      </c>
      <c r="H117" s="93"/>
      <c r="I117" s="7"/>
      <c r="J117" s="7"/>
      <c r="K117" s="7"/>
      <c r="L117" s="7">
        <v>-13038.02</v>
      </c>
      <c r="M117" s="9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>
        <v>-1914.75</v>
      </c>
      <c r="AB117" s="7"/>
      <c r="AC117" s="7"/>
      <c r="AD117" s="7"/>
      <c r="AE117" s="7"/>
      <c r="AF117" s="7"/>
      <c r="AG117" s="7" t="s">
        <v>609</v>
      </c>
      <c r="AH117" s="7"/>
      <c r="AI117" s="7"/>
      <c r="AJ117" s="18" t="s">
        <v>679</v>
      </c>
      <c r="AM117" s="2"/>
      <c r="AN117" s="2"/>
    </row>
    <row r="118" spans="2:40" ht="110.25" customHeight="1" x14ac:dyDescent="0.2">
      <c r="B118" s="65" t="s">
        <v>101</v>
      </c>
      <c r="C118" s="7"/>
      <c r="D118" s="21"/>
      <c r="E118" s="60">
        <f t="shared" ref="E118:AA118" si="3">SUM(E85:E117)</f>
        <v>765000</v>
      </c>
      <c r="F118" s="60">
        <f t="shared" si="3"/>
        <v>0</v>
      </c>
      <c r="G118" s="60">
        <f t="shared" si="3"/>
        <v>765000</v>
      </c>
      <c r="H118" s="60">
        <f t="shared" si="3"/>
        <v>0</v>
      </c>
      <c r="I118" s="60">
        <f t="shared" si="3"/>
        <v>28293.200000000001</v>
      </c>
      <c r="J118" s="60">
        <f t="shared" si="3"/>
        <v>0</v>
      </c>
      <c r="K118" s="60">
        <f t="shared" si="3"/>
        <v>0</v>
      </c>
      <c r="L118" s="60">
        <f t="shared" si="3"/>
        <v>0</v>
      </c>
      <c r="M118" s="60">
        <f t="shared" si="3"/>
        <v>6446.7000000000007</v>
      </c>
      <c r="N118" s="60">
        <f t="shared" si="3"/>
        <v>0</v>
      </c>
      <c r="O118" s="60">
        <f t="shared" si="3"/>
        <v>0</v>
      </c>
      <c r="P118" s="60">
        <f t="shared" si="3"/>
        <v>0</v>
      </c>
      <c r="Q118" s="60">
        <f t="shared" si="3"/>
        <v>0</v>
      </c>
      <c r="R118" s="60">
        <f t="shared" si="3"/>
        <v>0</v>
      </c>
      <c r="S118" s="60">
        <f t="shared" si="3"/>
        <v>0</v>
      </c>
      <c r="T118" s="60">
        <f t="shared" si="3"/>
        <v>1139.44</v>
      </c>
      <c r="U118" s="60">
        <f t="shared" si="3"/>
        <v>30000</v>
      </c>
      <c r="V118" s="60">
        <f t="shared" si="3"/>
        <v>0</v>
      </c>
      <c r="W118" s="60">
        <f t="shared" si="3"/>
        <v>0</v>
      </c>
      <c r="X118" s="60">
        <f t="shared" si="3"/>
        <v>0</v>
      </c>
      <c r="Y118" s="60">
        <f t="shared" si="3"/>
        <v>0</v>
      </c>
      <c r="Z118" s="60">
        <f t="shared" si="3"/>
        <v>0</v>
      </c>
      <c r="AA118" s="60">
        <f t="shared" si="3"/>
        <v>13743.569999999987</v>
      </c>
      <c r="AB118" s="7"/>
      <c r="AC118" s="7"/>
      <c r="AD118" s="7"/>
      <c r="AE118" s="7"/>
      <c r="AF118" s="7"/>
      <c r="AG118" s="60" t="s">
        <v>610</v>
      </c>
      <c r="AH118" s="60"/>
      <c r="AI118" s="7"/>
      <c r="AJ118" s="71" t="s">
        <v>611</v>
      </c>
      <c r="AL118" s="56"/>
      <c r="AM118" s="2"/>
      <c r="AN118" s="2"/>
    </row>
    <row r="119" spans="2:40" ht="90" customHeight="1" x14ac:dyDescent="0.2">
      <c r="B119" s="13" t="s">
        <v>102</v>
      </c>
      <c r="C119" s="15" t="s">
        <v>103</v>
      </c>
      <c r="D119" s="21">
        <v>2230</v>
      </c>
      <c r="E119" s="7">
        <f>2.75*1800+4000*3.9</f>
        <v>20550</v>
      </c>
      <c r="F119" s="7"/>
      <c r="G119" s="7">
        <f>E119+F119</f>
        <v>20550</v>
      </c>
      <c r="H119" s="93"/>
      <c r="I119" s="7"/>
      <c r="J119" s="7"/>
      <c r="K119" s="7"/>
      <c r="L119" s="8"/>
      <c r="M119" s="8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>
        <v>283.63</v>
      </c>
      <c r="Z119" s="7"/>
      <c r="AA119" s="7"/>
      <c r="AB119" s="7"/>
      <c r="AC119" s="7"/>
      <c r="AD119" s="7"/>
      <c r="AE119" s="7"/>
      <c r="AF119" s="7"/>
      <c r="AG119" s="7" t="s">
        <v>612</v>
      </c>
      <c r="AH119" s="7"/>
      <c r="AI119" s="7"/>
      <c r="AJ119" s="18" t="s">
        <v>680</v>
      </c>
      <c r="AL119" s="72"/>
      <c r="AM119" s="2"/>
      <c r="AN119" s="2"/>
    </row>
    <row r="120" spans="2:40" ht="119.25" customHeight="1" x14ac:dyDescent="0.2">
      <c r="B120" s="13" t="s">
        <v>104</v>
      </c>
      <c r="C120" s="15" t="s">
        <v>105</v>
      </c>
      <c r="D120" s="21">
        <v>2230</v>
      </c>
      <c r="E120" s="7">
        <f>4.5*1200+4.5*330+7.3*350+3000*4.5+900*4.5+600*8.5+577.91</f>
        <v>32667.91</v>
      </c>
      <c r="F120" s="7"/>
      <c r="G120" s="7">
        <f t="shared" ref="G120:G144" si="4">E120+F120</f>
        <v>32667.91</v>
      </c>
      <c r="H120" s="93"/>
      <c r="I120" s="7"/>
      <c r="J120" s="7"/>
      <c r="K120" s="7"/>
      <c r="L120" s="8"/>
      <c r="M120" s="8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>
        <v>1892.9</v>
      </c>
      <c r="Z120" s="7"/>
      <c r="AA120" s="7">
        <f>-0.81+9.54</f>
        <v>8.7299999999999986</v>
      </c>
      <c r="AB120" s="7">
        <v>-9.5399999999999991</v>
      </c>
      <c r="AC120" s="7"/>
      <c r="AD120" s="7"/>
      <c r="AE120" s="7"/>
      <c r="AF120" s="7"/>
      <c r="AG120" s="7" t="s">
        <v>613</v>
      </c>
      <c r="AH120" s="7"/>
      <c r="AI120" s="7"/>
      <c r="AJ120" s="18" t="s">
        <v>681</v>
      </c>
      <c r="AL120" s="72"/>
      <c r="AM120" s="41"/>
      <c r="AN120" s="2"/>
    </row>
    <row r="121" spans="2:40" ht="121.5" customHeight="1" x14ac:dyDescent="0.2">
      <c r="B121" s="13" t="s">
        <v>106</v>
      </c>
      <c r="C121" s="15" t="s">
        <v>107</v>
      </c>
      <c r="D121" s="21">
        <v>2230</v>
      </c>
      <c r="E121" s="7">
        <v>50000</v>
      </c>
      <c r="F121" s="7"/>
      <c r="G121" s="7">
        <f t="shared" si="4"/>
        <v>50000</v>
      </c>
      <c r="H121" s="7"/>
      <c r="I121" s="7"/>
      <c r="J121" s="7"/>
      <c r="K121" s="9"/>
      <c r="L121" s="8"/>
      <c r="M121" s="8"/>
      <c r="N121" s="7"/>
      <c r="O121" s="7"/>
      <c r="P121" s="7"/>
      <c r="Q121" s="7"/>
      <c r="R121" s="20"/>
      <c r="S121" s="20" t="s">
        <v>470</v>
      </c>
      <c r="T121" s="7"/>
      <c r="U121" s="7">
        <v>1679.8</v>
      </c>
      <c r="V121" s="7"/>
      <c r="W121" s="7"/>
      <c r="X121" s="7"/>
      <c r="Y121" s="7">
        <v>-5721.4</v>
      </c>
      <c r="Z121" s="7">
        <v>-260</v>
      </c>
      <c r="AA121" s="7">
        <f>4360-507.2</f>
        <v>3852.8</v>
      </c>
      <c r="AB121" s="7"/>
      <c r="AC121" s="7"/>
      <c r="AD121" s="7"/>
      <c r="AE121" s="7"/>
      <c r="AF121" s="7"/>
      <c r="AG121" s="7" t="s">
        <v>614</v>
      </c>
      <c r="AH121" s="7"/>
      <c r="AI121" s="7"/>
      <c r="AJ121" s="18" t="s">
        <v>689</v>
      </c>
      <c r="AL121" s="72"/>
      <c r="AM121" s="41"/>
      <c r="AN121" s="2"/>
    </row>
    <row r="122" spans="2:40" ht="94.5" x14ac:dyDescent="0.2">
      <c r="B122" s="13" t="s">
        <v>110</v>
      </c>
      <c r="C122" s="15" t="s">
        <v>111</v>
      </c>
      <c r="D122" s="21">
        <v>2230</v>
      </c>
      <c r="E122" s="7">
        <f>1.15*12000+43200*1.15</f>
        <v>63479.999999999993</v>
      </c>
      <c r="F122" s="7"/>
      <c r="G122" s="7">
        <f t="shared" si="4"/>
        <v>63479.999999999993</v>
      </c>
      <c r="H122" s="93"/>
      <c r="I122" s="7"/>
      <c r="J122" s="7"/>
      <c r="K122" s="7"/>
      <c r="L122" s="8"/>
      <c r="M122" s="8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>
        <v>-18518.52</v>
      </c>
      <c r="Z122" s="7"/>
      <c r="AA122" s="7"/>
      <c r="AB122" s="7">
        <v>-1.28</v>
      </c>
      <c r="AC122" s="7"/>
      <c r="AD122" s="7"/>
      <c r="AE122" s="7"/>
      <c r="AF122" s="7"/>
      <c r="AG122" s="7" t="s">
        <v>631</v>
      </c>
      <c r="AH122" s="7"/>
      <c r="AI122" s="7"/>
      <c r="AJ122" s="18" t="s">
        <v>690</v>
      </c>
      <c r="AL122" s="72"/>
      <c r="AM122" s="41"/>
      <c r="AN122" s="2"/>
    </row>
    <row r="123" spans="2:40" ht="110.25" x14ac:dyDescent="0.2">
      <c r="B123" s="13" t="s">
        <v>112</v>
      </c>
      <c r="C123" s="15" t="s">
        <v>113</v>
      </c>
      <c r="D123" s="21">
        <v>2230</v>
      </c>
      <c r="E123" s="7">
        <f>24.5*1800+2277*24.5</f>
        <v>99886.5</v>
      </c>
      <c r="F123" s="7"/>
      <c r="G123" s="7">
        <f t="shared" si="4"/>
        <v>99886.5</v>
      </c>
      <c r="H123" s="93"/>
      <c r="I123" s="7"/>
      <c r="J123" s="7"/>
      <c r="K123" s="7"/>
      <c r="L123" s="8"/>
      <c r="M123" s="8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>
        <v>-3.31</v>
      </c>
      <c r="Z123" s="7"/>
      <c r="AA123" s="7"/>
      <c r="AB123" s="7"/>
      <c r="AC123" s="7"/>
      <c r="AD123" s="7"/>
      <c r="AE123" s="7"/>
      <c r="AF123" s="7"/>
      <c r="AG123" s="7" t="s">
        <v>632</v>
      </c>
      <c r="AH123" s="7"/>
      <c r="AI123" s="7"/>
      <c r="AJ123" s="18" t="s">
        <v>691</v>
      </c>
      <c r="AL123" s="72"/>
      <c r="AM123" s="41"/>
      <c r="AN123" s="2"/>
    </row>
    <row r="124" spans="2:40" ht="63" x14ac:dyDescent="0.2">
      <c r="B124" s="13" t="s">
        <v>114</v>
      </c>
      <c r="C124" s="15" t="s">
        <v>115</v>
      </c>
      <c r="D124" s="21">
        <v>2230</v>
      </c>
      <c r="E124" s="7">
        <f>29.5*1000+900*34.5</f>
        <v>60550</v>
      </c>
      <c r="F124" s="7"/>
      <c r="G124" s="7">
        <f t="shared" si="4"/>
        <v>60550</v>
      </c>
      <c r="H124" s="93"/>
      <c r="I124" s="7"/>
      <c r="J124" s="7"/>
      <c r="K124" s="7"/>
      <c r="L124" s="8"/>
      <c r="M124" s="8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>
        <v>25378</v>
      </c>
      <c r="Z124" s="7"/>
      <c r="AA124" s="7"/>
      <c r="AB124" s="7"/>
      <c r="AC124" s="7">
        <f>--129.05-17959</f>
        <v>-17829.95</v>
      </c>
      <c r="AD124" s="7">
        <v>17700.900000000001</v>
      </c>
      <c r="AE124" s="7"/>
      <c r="AF124" s="7"/>
      <c r="AG124" s="7" t="s">
        <v>633</v>
      </c>
      <c r="AH124" s="7"/>
      <c r="AI124" s="7"/>
      <c r="AJ124" s="18" t="s">
        <v>692</v>
      </c>
      <c r="AL124" s="72"/>
      <c r="AM124" s="41"/>
      <c r="AN124" s="2"/>
    </row>
    <row r="125" spans="2:40" ht="33" hidden="1" x14ac:dyDescent="0.2">
      <c r="B125" s="13" t="s">
        <v>474</v>
      </c>
      <c r="C125" s="15" t="s">
        <v>475</v>
      </c>
      <c r="D125" s="21">
        <v>2230</v>
      </c>
      <c r="E125" s="7">
        <f>265*8.75+300*8.75</f>
        <v>4943.75</v>
      </c>
      <c r="F125" s="7"/>
      <c r="G125" s="7">
        <f t="shared" si="4"/>
        <v>4943.75</v>
      </c>
      <c r="H125" s="93"/>
      <c r="I125" s="7"/>
      <c r="J125" s="7"/>
      <c r="K125" s="7"/>
      <c r="L125" s="8"/>
      <c r="M125" s="8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>
        <v>-3193.75</v>
      </c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18" t="s">
        <v>679</v>
      </c>
      <c r="AL125" s="72"/>
      <c r="AM125" s="41"/>
      <c r="AN125" s="2"/>
    </row>
    <row r="126" spans="2:40" ht="94.5" x14ac:dyDescent="0.2">
      <c r="B126" s="13" t="s">
        <v>116</v>
      </c>
      <c r="C126" s="15" t="s">
        <v>117</v>
      </c>
      <c r="D126" s="21">
        <v>2230</v>
      </c>
      <c r="E126" s="7">
        <f>60*28.6+223*18+50*21.4+100*21.4</f>
        <v>8940</v>
      </c>
      <c r="F126" s="7"/>
      <c r="G126" s="7">
        <f t="shared" si="4"/>
        <v>8940</v>
      </c>
      <c r="H126" s="93"/>
      <c r="I126" s="7"/>
      <c r="J126" s="7"/>
      <c r="K126" s="7"/>
      <c r="L126" s="8"/>
      <c r="M126" s="8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>
        <v>-26.2</v>
      </c>
      <c r="Z126" s="7"/>
      <c r="AA126" s="7"/>
      <c r="AB126" s="7"/>
      <c r="AC126" s="7"/>
      <c r="AD126" s="7"/>
      <c r="AE126" s="7"/>
      <c r="AF126" s="7"/>
      <c r="AG126" s="7" t="s">
        <v>634</v>
      </c>
      <c r="AH126" s="7"/>
      <c r="AI126" s="7"/>
      <c r="AJ126" s="18" t="s">
        <v>693</v>
      </c>
      <c r="AL126" s="72"/>
      <c r="AM126" s="41"/>
      <c r="AN126" s="2"/>
    </row>
    <row r="127" spans="2:40" ht="94.5" x14ac:dyDescent="0.2">
      <c r="B127" s="13" t="s">
        <v>118</v>
      </c>
      <c r="C127" s="15" t="s">
        <v>119</v>
      </c>
      <c r="D127" s="21">
        <v>2230</v>
      </c>
      <c r="E127" s="7">
        <f>287*19+80*9.7+200*21.5</f>
        <v>10529</v>
      </c>
      <c r="F127" s="7"/>
      <c r="G127" s="7">
        <f t="shared" si="4"/>
        <v>10529</v>
      </c>
      <c r="H127" s="93"/>
      <c r="I127" s="7"/>
      <c r="J127" s="7"/>
      <c r="K127" s="7"/>
      <c r="L127" s="8"/>
      <c r="M127" s="8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>
        <v>-124.5</v>
      </c>
      <c r="Z127" s="7"/>
      <c r="AA127" s="7">
        <v>525</v>
      </c>
      <c r="AB127" s="7"/>
      <c r="AC127" s="7"/>
      <c r="AD127" s="7"/>
      <c r="AE127" s="7"/>
      <c r="AF127" s="7"/>
      <c r="AG127" s="7" t="s">
        <v>635</v>
      </c>
      <c r="AH127" s="7"/>
      <c r="AI127" s="7"/>
      <c r="AJ127" s="18" t="s">
        <v>694</v>
      </c>
      <c r="AL127" s="72"/>
      <c r="AM127" s="41"/>
      <c r="AN127" s="2"/>
    </row>
    <row r="128" spans="2:40" ht="110.25" x14ac:dyDescent="0.2">
      <c r="B128" s="13" t="s">
        <v>120</v>
      </c>
      <c r="C128" s="15" t="s">
        <v>121</v>
      </c>
      <c r="D128" s="21">
        <v>2230</v>
      </c>
      <c r="E128" s="7">
        <f>536*16.6+1300*17.3</f>
        <v>31387.599999999999</v>
      </c>
      <c r="F128" s="7"/>
      <c r="G128" s="7">
        <f t="shared" si="4"/>
        <v>31387.599999999999</v>
      </c>
      <c r="H128" s="93"/>
      <c r="I128" s="7"/>
      <c r="J128" s="7"/>
      <c r="K128" s="7"/>
      <c r="L128" s="8"/>
      <c r="M128" s="8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63">
        <v>-4.9000000000000004</v>
      </c>
      <c r="Z128" s="7"/>
      <c r="AA128" s="7">
        <v>-1.43</v>
      </c>
      <c r="AB128" s="7"/>
      <c r="AC128" s="7"/>
      <c r="AD128" s="7"/>
      <c r="AE128" s="7"/>
      <c r="AF128" s="7"/>
      <c r="AG128" s="7" t="s">
        <v>636</v>
      </c>
      <c r="AH128" s="7"/>
      <c r="AI128" s="7"/>
      <c r="AJ128" s="18" t="s">
        <v>695</v>
      </c>
      <c r="AL128" s="72"/>
      <c r="AM128" s="41"/>
      <c r="AN128" s="2"/>
    </row>
    <row r="129" spans="2:40" ht="78.75" x14ac:dyDescent="0.2">
      <c r="B129" s="13" t="s">
        <v>108</v>
      </c>
      <c r="C129" s="15" t="s">
        <v>109</v>
      </c>
      <c r="D129" s="21">
        <v>2230</v>
      </c>
      <c r="E129" s="7">
        <f>5.1*2177.922+608*5+6380*5.3</f>
        <v>47961.402199999997</v>
      </c>
      <c r="F129" s="7"/>
      <c r="G129" s="7">
        <f>E129+F129</f>
        <v>47961.402199999997</v>
      </c>
      <c r="H129" s="93"/>
      <c r="I129" s="7"/>
      <c r="J129" s="7"/>
      <c r="K129" s="7"/>
      <c r="L129" s="8"/>
      <c r="M129" s="8"/>
      <c r="N129" s="7"/>
      <c r="O129" s="7"/>
      <c r="P129" s="7"/>
      <c r="Q129" s="7"/>
      <c r="R129" s="7"/>
      <c r="S129" s="20" t="s">
        <v>473</v>
      </c>
      <c r="T129" s="7"/>
      <c r="U129" s="7"/>
      <c r="V129" s="7"/>
      <c r="W129" s="7"/>
      <c r="X129" s="7"/>
      <c r="Y129" s="7">
        <v>-6156</v>
      </c>
      <c r="Z129" s="7"/>
      <c r="AA129" s="7">
        <v>-4370</v>
      </c>
      <c r="AB129" s="7"/>
      <c r="AC129" s="7"/>
      <c r="AD129" s="7"/>
      <c r="AE129" s="7"/>
      <c r="AF129" s="7"/>
      <c r="AG129" s="7" t="s">
        <v>637</v>
      </c>
      <c r="AH129" s="7"/>
      <c r="AI129" s="7"/>
      <c r="AJ129" s="18" t="s">
        <v>696</v>
      </c>
      <c r="AL129" s="72"/>
      <c r="AM129" s="41"/>
      <c r="AN129" s="2"/>
    </row>
    <row r="130" spans="2:40" ht="33" hidden="1" x14ac:dyDescent="0.2">
      <c r="B130" s="13" t="s">
        <v>478</v>
      </c>
      <c r="C130" s="15" t="s">
        <v>479</v>
      </c>
      <c r="D130" s="21">
        <v>2230</v>
      </c>
      <c r="E130" s="7">
        <v>3920</v>
      </c>
      <c r="F130" s="7"/>
      <c r="G130" s="7">
        <f>E130+F130</f>
        <v>3920</v>
      </c>
      <c r="H130" s="7"/>
      <c r="I130" s="7"/>
      <c r="J130" s="7"/>
      <c r="K130" s="9"/>
      <c r="L130" s="8"/>
      <c r="M130" s="8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63">
        <v>-2800</v>
      </c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18" t="s">
        <v>679</v>
      </c>
      <c r="AL130" s="72"/>
      <c r="AM130" s="41"/>
      <c r="AN130" s="2"/>
    </row>
    <row r="131" spans="2:40" ht="110.25" x14ac:dyDescent="0.2">
      <c r="B131" s="13" t="s">
        <v>122</v>
      </c>
      <c r="C131" s="15" t="s">
        <v>123</v>
      </c>
      <c r="D131" s="21">
        <v>2230</v>
      </c>
      <c r="E131" s="7">
        <f>415*10.49+800*11.6</f>
        <v>13633.35</v>
      </c>
      <c r="F131" s="7"/>
      <c r="G131" s="7">
        <f t="shared" si="4"/>
        <v>13633.35</v>
      </c>
      <c r="H131" s="93"/>
      <c r="I131" s="7"/>
      <c r="J131" s="7"/>
      <c r="K131" s="7"/>
      <c r="L131" s="8"/>
      <c r="M131" s="8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>
        <v>-13.9</v>
      </c>
      <c r="Z131" s="7"/>
      <c r="AA131" s="7">
        <f>0.5-13.5</f>
        <v>-13</v>
      </c>
      <c r="AB131" s="7"/>
      <c r="AC131" s="7"/>
      <c r="AD131" s="7"/>
      <c r="AE131" s="7"/>
      <c r="AF131" s="7"/>
      <c r="AG131" s="7" t="s">
        <v>638</v>
      </c>
      <c r="AH131" s="7"/>
      <c r="AI131" s="7"/>
      <c r="AJ131" s="18" t="s">
        <v>697</v>
      </c>
      <c r="AL131" s="72"/>
      <c r="AM131" s="41"/>
      <c r="AN131" s="2"/>
    </row>
    <row r="132" spans="2:40" ht="63" x14ac:dyDescent="0.2">
      <c r="B132" s="13" t="s">
        <v>124</v>
      </c>
      <c r="C132" s="15" t="s">
        <v>125</v>
      </c>
      <c r="D132" s="21">
        <v>2230</v>
      </c>
      <c r="E132" s="7">
        <f>4.5*300+800*5</f>
        <v>5350</v>
      </c>
      <c r="F132" s="7"/>
      <c r="G132" s="7">
        <f t="shared" si="4"/>
        <v>5350</v>
      </c>
      <c r="H132" s="93"/>
      <c r="I132" s="7"/>
      <c r="J132" s="7"/>
      <c r="K132" s="7"/>
      <c r="L132" s="8"/>
      <c r="M132" s="8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 t="s">
        <v>639</v>
      </c>
      <c r="AH132" s="7"/>
      <c r="AI132" s="7"/>
      <c r="AJ132" s="18" t="s">
        <v>698</v>
      </c>
      <c r="AL132" s="72"/>
      <c r="AM132" s="41"/>
      <c r="AN132" s="2"/>
    </row>
    <row r="133" spans="2:40" ht="94.5" x14ac:dyDescent="0.2">
      <c r="B133" s="13" t="s">
        <v>126</v>
      </c>
      <c r="C133" s="15" t="s">
        <v>127</v>
      </c>
      <c r="D133" s="21">
        <v>2230</v>
      </c>
      <c r="E133" s="7">
        <f>200*4.25+100*5.5+400*8.48+343*19.5+300*8.9+350*6.7+1500*10.9+100*20.5+800*9.8</f>
        <v>42735.5</v>
      </c>
      <c r="F133" s="7"/>
      <c r="G133" s="7">
        <f t="shared" si="4"/>
        <v>42735.5</v>
      </c>
      <c r="H133" s="93"/>
      <c r="I133" s="7"/>
      <c r="J133" s="7"/>
      <c r="K133" s="7"/>
      <c r="L133" s="8"/>
      <c r="M133" s="8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>
        <v>8554</v>
      </c>
      <c r="Z133" s="7"/>
      <c r="AA133" s="7">
        <f>0.5</f>
        <v>0.5</v>
      </c>
      <c r="AB133" s="7"/>
      <c r="AC133" s="7"/>
      <c r="AD133" s="7"/>
      <c r="AE133" s="7"/>
      <c r="AF133" s="7"/>
      <c r="AG133" s="7" t="s">
        <v>640</v>
      </c>
      <c r="AH133" s="7"/>
      <c r="AI133" s="7"/>
      <c r="AJ133" s="18" t="s">
        <v>699</v>
      </c>
      <c r="AL133" s="72"/>
      <c r="AM133" s="41"/>
      <c r="AN133" s="2"/>
    </row>
    <row r="134" spans="2:40" ht="33" hidden="1" x14ac:dyDescent="0.2">
      <c r="B134" s="13" t="s">
        <v>480</v>
      </c>
      <c r="C134" s="15" t="s">
        <v>481</v>
      </c>
      <c r="D134" s="21">
        <v>2230</v>
      </c>
      <c r="E134" s="7">
        <f>21*50</f>
        <v>1050</v>
      </c>
      <c r="F134" s="7"/>
      <c r="G134" s="7">
        <f t="shared" si="4"/>
        <v>1050</v>
      </c>
      <c r="H134" s="93"/>
      <c r="I134" s="7"/>
      <c r="J134" s="7"/>
      <c r="K134" s="7"/>
      <c r="L134" s="8"/>
      <c r="M134" s="8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>
        <v>-210</v>
      </c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18" t="s">
        <v>679</v>
      </c>
      <c r="AL134" s="72"/>
      <c r="AM134" s="41"/>
      <c r="AN134" s="2"/>
    </row>
    <row r="135" spans="2:40" ht="110.25" x14ac:dyDescent="0.2">
      <c r="B135" s="13" t="s">
        <v>128</v>
      </c>
      <c r="C135" s="15" t="s">
        <v>129</v>
      </c>
      <c r="D135" s="21">
        <v>2230</v>
      </c>
      <c r="E135" s="7">
        <f>5.65*3600+5.48*810-3920+6954.75*5.65+1963.5*5.9</f>
        <v>71737.787500000006</v>
      </c>
      <c r="F135" s="7"/>
      <c r="G135" s="7">
        <f t="shared" si="4"/>
        <v>71737.787500000006</v>
      </c>
      <c r="H135" s="93"/>
      <c r="I135" s="7"/>
      <c r="J135" s="7"/>
      <c r="K135" s="7"/>
      <c r="L135" s="8"/>
      <c r="M135" s="8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>
        <v>10.82</v>
      </c>
      <c r="AC135" s="7">
        <v>-18891.25</v>
      </c>
      <c r="AD135" s="7">
        <f>139.87+18880.43</f>
        <v>19020.3</v>
      </c>
      <c r="AE135" s="7"/>
      <c r="AF135" s="7"/>
      <c r="AG135" s="7" t="s">
        <v>724</v>
      </c>
      <c r="AH135" s="7"/>
      <c r="AI135" s="7"/>
      <c r="AJ135" s="18" t="s">
        <v>725</v>
      </c>
      <c r="AL135" s="72"/>
      <c r="AM135" s="41"/>
      <c r="AN135" s="2"/>
    </row>
    <row r="136" spans="2:40" ht="78.75" x14ac:dyDescent="0.2">
      <c r="B136" s="13" t="s">
        <v>482</v>
      </c>
      <c r="C136" s="15" t="s">
        <v>483</v>
      </c>
      <c r="D136" s="21">
        <v>2230</v>
      </c>
      <c r="E136" s="7">
        <f>150*7</f>
        <v>1050</v>
      </c>
      <c r="F136" s="7"/>
      <c r="G136" s="7">
        <f t="shared" si="4"/>
        <v>1050</v>
      </c>
      <c r="H136" s="7"/>
      <c r="I136" s="7"/>
      <c r="J136" s="7"/>
      <c r="K136" s="9"/>
      <c r="L136" s="8"/>
      <c r="M136" s="8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>
        <v>-3</v>
      </c>
      <c r="Z136" s="7"/>
      <c r="AA136" s="7"/>
      <c r="AB136" s="7"/>
      <c r="AC136" s="7"/>
      <c r="AD136" s="7"/>
      <c r="AE136" s="7"/>
      <c r="AF136" s="7"/>
      <c r="AG136" s="7" t="s">
        <v>641</v>
      </c>
      <c r="AH136" s="7"/>
      <c r="AI136" s="7"/>
      <c r="AJ136" s="18" t="s">
        <v>700</v>
      </c>
      <c r="AL136" s="72"/>
      <c r="AM136" s="41"/>
      <c r="AN136" s="2"/>
    </row>
    <row r="137" spans="2:40" ht="78.75" x14ac:dyDescent="0.2">
      <c r="B137" s="13" t="s">
        <v>130</v>
      </c>
      <c r="C137" s="15" t="s">
        <v>131</v>
      </c>
      <c r="D137" s="21">
        <v>2230</v>
      </c>
      <c r="E137" s="7">
        <f>313.542*9.6+2000*9.75</f>
        <v>22510.003199999999</v>
      </c>
      <c r="F137" s="7"/>
      <c r="G137" s="7">
        <f t="shared" si="4"/>
        <v>22510.003199999999</v>
      </c>
      <c r="H137" s="93"/>
      <c r="I137" s="7"/>
      <c r="J137" s="7"/>
      <c r="K137" s="7"/>
      <c r="L137" s="8"/>
      <c r="M137" s="8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>
        <v>-200.5</v>
      </c>
      <c r="Z137" s="7"/>
      <c r="AA137" s="7"/>
      <c r="AB137" s="7"/>
      <c r="AC137" s="7"/>
      <c r="AD137" s="7"/>
      <c r="AE137" s="7"/>
      <c r="AF137" s="7"/>
      <c r="AG137" s="7" t="s">
        <v>642</v>
      </c>
      <c r="AH137" s="7"/>
      <c r="AI137" s="7"/>
      <c r="AJ137" s="18" t="s">
        <v>701</v>
      </c>
      <c r="AL137" s="72"/>
      <c r="AM137" s="41"/>
      <c r="AN137" s="2"/>
    </row>
    <row r="138" spans="2:40" ht="94.5" x14ac:dyDescent="0.2">
      <c r="B138" s="13" t="s">
        <v>132</v>
      </c>
      <c r="C138" s="15" t="s">
        <v>133</v>
      </c>
      <c r="D138" s="21">
        <v>2230</v>
      </c>
      <c r="E138" s="7">
        <f>1*73.75+7*65</f>
        <v>528.75</v>
      </c>
      <c r="F138" s="7"/>
      <c r="G138" s="7">
        <f t="shared" si="4"/>
        <v>528.75</v>
      </c>
      <c r="H138" s="93"/>
      <c r="I138" s="7"/>
      <c r="J138" s="7"/>
      <c r="K138" s="7"/>
      <c r="L138" s="8"/>
      <c r="M138" s="8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>
        <v>260</v>
      </c>
      <c r="AA138" s="7">
        <v>-2.6</v>
      </c>
      <c r="AB138" s="7"/>
      <c r="AC138" s="7"/>
      <c r="AD138" s="7"/>
      <c r="AE138" s="7"/>
      <c r="AF138" s="7"/>
      <c r="AG138" s="7" t="s">
        <v>643</v>
      </c>
      <c r="AH138" s="7"/>
      <c r="AI138" s="7"/>
      <c r="AJ138" s="18" t="s">
        <v>702</v>
      </c>
      <c r="AL138" s="72"/>
      <c r="AM138" s="41"/>
      <c r="AN138" s="2"/>
    </row>
    <row r="139" spans="2:40" ht="94.5" x14ac:dyDescent="0.2">
      <c r="B139" s="13" t="s">
        <v>134</v>
      </c>
      <c r="C139" s="15" t="s">
        <v>135</v>
      </c>
      <c r="D139" s="21">
        <v>2230</v>
      </c>
      <c r="E139" s="7">
        <f>50*3.2+100*24+104*3.45</f>
        <v>2918.8</v>
      </c>
      <c r="F139" s="7"/>
      <c r="G139" s="7">
        <f t="shared" si="4"/>
        <v>2918.8</v>
      </c>
      <c r="H139" s="93"/>
      <c r="I139" s="7"/>
      <c r="J139" s="7"/>
      <c r="K139" s="7"/>
      <c r="L139" s="8"/>
      <c r="M139" s="8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>
        <v>-3.4</v>
      </c>
      <c r="Z139" s="7"/>
      <c r="AA139" s="7"/>
      <c r="AB139" s="7"/>
      <c r="AC139" s="7"/>
      <c r="AD139" s="7"/>
      <c r="AE139" s="7"/>
      <c r="AF139" s="7"/>
      <c r="AG139" s="7" t="s">
        <v>644</v>
      </c>
      <c r="AH139" s="7"/>
      <c r="AI139" s="7"/>
      <c r="AJ139" s="18" t="s">
        <v>703</v>
      </c>
      <c r="AL139" s="73"/>
      <c r="AM139" s="41"/>
      <c r="AN139" s="2"/>
    </row>
    <row r="140" spans="2:40" ht="63" x14ac:dyDescent="0.2">
      <c r="B140" s="13" t="s">
        <v>136</v>
      </c>
      <c r="C140" s="15" t="s">
        <v>137</v>
      </c>
      <c r="D140" s="21">
        <v>2230</v>
      </c>
      <c r="E140" s="7">
        <f>84*1</f>
        <v>84</v>
      </c>
      <c r="F140" s="7"/>
      <c r="G140" s="7">
        <f t="shared" si="4"/>
        <v>84</v>
      </c>
      <c r="H140" s="93"/>
      <c r="I140" s="7"/>
      <c r="J140" s="7"/>
      <c r="K140" s="7"/>
      <c r="L140" s="8"/>
      <c r="M140" s="8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 t="s">
        <v>645</v>
      </c>
      <c r="AH140" s="7"/>
      <c r="AI140" s="7"/>
      <c r="AJ140" s="18" t="s">
        <v>704</v>
      </c>
      <c r="AM140" s="41"/>
      <c r="AN140" s="2"/>
    </row>
    <row r="141" spans="2:40" ht="94.5" x14ac:dyDescent="0.2">
      <c r="B141" s="13" t="s">
        <v>138</v>
      </c>
      <c r="C141" s="15" t="s">
        <v>139</v>
      </c>
      <c r="D141" s="21">
        <v>2230</v>
      </c>
      <c r="E141" s="7">
        <f>2.2*50+500*2.5</f>
        <v>1360</v>
      </c>
      <c r="F141" s="7"/>
      <c r="G141" s="7">
        <f t="shared" si="4"/>
        <v>1360</v>
      </c>
      <c r="H141" s="93"/>
      <c r="I141" s="7"/>
      <c r="J141" s="7"/>
      <c r="K141" s="7"/>
      <c r="L141" s="8"/>
      <c r="M141" s="8"/>
      <c r="N141" s="7"/>
      <c r="O141" s="7"/>
      <c r="P141" s="7"/>
      <c r="Q141" s="7"/>
      <c r="R141" s="7"/>
      <c r="S141" s="7"/>
      <c r="T141" s="7"/>
      <c r="U141" s="7">
        <v>-610</v>
      </c>
      <c r="V141" s="7"/>
      <c r="W141" s="7"/>
      <c r="X141" s="7"/>
      <c r="Y141" s="7">
        <v>305</v>
      </c>
      <c r="Z141" s="7"/>
      <c r="AA141" s="7"/>
      <c r="AB141" s="7"/>
      <c r="AC141" s="7"/>
      <c r="AD141" s="7"/>
      <c r="AE141" s="7"/>
      <c r="AF141" s="7"/>
      <c r="AG141" s="7" t="s">
        <v>646</v>
      </c>
      <c r="AH141" s="7"/>
      <c r="AI141" s="7"/>
      <c r="AJ141" s="18" t="s">
        <v>705</v>
      </c>
      <c r="AM141" s="41"/>
      <c r="AN141" s="2"/>
    </row>
    <row r="142" spans="2:40" ht="78.75" x14ac:dyDescent="0.2">
      <c r="B142" s="13" t="s">
        <v>485</v>
      </c>
      <c r="C142" s="15" t="s">
        <v>486</v>
      </c>
      <c r="D142" s="21">
        <v>2230</v>
      </c>
      <c r="E142" s="7"/>
      <c r="F142" s="7">
        <v>74054.25</v>
      </c>
      <c r="G142" s="7">
        <f t="shared" si="4"/>
        <v>74054.25</v>
      </c>
      <c r="H142" s="7"/>
      <c r="I142" s="7"/>
      <c r="J142" s="7"/>
      <c r="K142" s="9"/>
      <c r="L142" s="8"/>
      <c r="M142" s="8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 t="s">
        <v>647</v>
      </c>
      <c r="AH142" s="7"/>
      <c r="AI142" s="7"/>
      <c r="AJ142" s="18" t="s">
        <v>706</v>
      </c>
      <c r="AM142" s="41"/>
      <c r="AN142" s="2"/>
    </row>
    <row r="143" spans="2:40" ht="63" x14ac:dyDescent="0.2">
      <c r="B143" s="13" t="s">
        <v>140</v>
      </c>
      <c r="C143" s="15" t="s">
        <v>141</v>
      </c>
      <c r="D143" s="21">
        <v>2230</v>
      </c>
      <c r="E143" s="7">
        <f>3*7.95+14*8</f>
        <v>135.85</v>
      </c>
      <c r="F143" s="7"/>
      <c r="G143" s="7">
        <f t="shared" si="4"/>
        <v>135.85</v>
      </c>
      <c r="H143" s="93"/>
      <c r="I143" s="7"/>
      <c r="J143" s="7"/>
      <c r="K143" s="7"/>
      <c r="L143" s="8"/>
      <c r="M143" s="8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>
        <v>37.85</v>
      </c>
      <c r="Z143" s="7"/>
      <c r="AA143" s="7"/>
      <c r="AB143" s="7"/>
      <c r="AC143" s="7"/>
      <c r="AD143" s="7"/>
      <c r="AE143" s="7"/>
      <c r="AF143" s="7"/>
      <c r="AG143" s="7" t="s">
        <v>648</v>
      </c>
      <c r="AH143" s="7"/>
      <c r="AI143" s="7"/>
      <c r="AJ143" s="18" t="s">
        <v>707</v>
      </c>
      <c r="AM143" s="41"/>
      <c r="AN143" s="2"/>
    </row>
    <row r="144" spans="2:40" ht="78.75" x14ac:dyDescent="0.2">
      <c r="B144" s="13" t="s">
        <v>142</v>
      </c>
      <c r="C144" s="15" t="s">
        <v>143</v>
      </c>
      <c r="D144" s="21">
        <v>2230</v>
      </c>
      <c r="E144" s="7">
        <f>10.8*60+133.5*10.8</f>
        <v>2089.8000000000002</v>
      </c>
      <c r="F144" s="7"/>
      <c r="G144" s="7">
        <f t="shared" si="4"/>
        <v>2089.8000000000002</v>
      </c>
      <c r="H144" s="93"/>
      <c r="I144" s="7"/>
      <c r="J144" s="7"/>
      <c r="K144" s="7"/>
      <c r="L144" s="8"/>
      <c r="M144" s="8"/>
      <c r="N144" s="7"/>
      <c r="O144" s="7"/>
      <c r="P144" s="7"/>
      <c r="Q144" s="7"/>
      <c r="R144" s="7"/>
      <c r="S144" s="7"/>
      <c r="T144" s="7"/>
      <c r="U144" s="7">
        <v>-1069.8</v>
      </c>
      <c r="V144" s="7"/>
      <c r="W144" s="7"/>
      <c r="X144" s="7"/>
      <c r="Y144" s="7">
        <v>528</v>
      </c>
      <c r="Z144" s="7"/>
      <c r="AA144" s="7"/>
      <c r="AB144" s="7"/>
      <c r="AC144" s="7"/>
      <c r="AD144" s="7"/>
      <c r="AE144" s="7"/>
      <c r="AF144" s="7"/>
      <c r="AG144" s="7" t="s">
        <v>649</v>
      </c>
      <c r="AH144" s="7"/>
      <c r="AI144" s="7"/>
      <c r="AJ144" s="18" t="s">
        <v>708</v>
      </c>
      <c r="AM144" s="41"/>
      <c r="AN144" s="2"/>
    </row>
    <row r="145" spans="2:40" ht="111.75" customHeight="1" x14ac:dyDescent="0.2">
      <c r="B145" s="65" t="s">
        <v>144</v>
      </c>
      <c r="C145" s="15"/>
      <c r="D145" s="21"/>
      <c r="E145" s="60">
        <v>600000</v>
      </c>
      <c r="F145" s="60">
        <f>74054.25</f>
        <v>74054.25</v>
      </c>
      <c r="G145" s="60">
        <f>SUM(G119:G144)</f>
        <v>674054.25290000008</v>
      </c>
      <c r="H145" s="93"/>
      <c r="I145" s="7"/>
      <c r="J145" s="7"/>
      <c r="K145" s="7"/>
      <c r="L145" s="8"/>
      <c r="M145" s="8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60" t="s">
        <v>709</v>
      </c>
      <c r="AH145" s="60"/>
      <c r="AI145" s="60"/>
      <c r="AJ145" s="60" t="s">
        <v>710</v>
      </c>
      <c r="AK145" s="69"/>
      <c r="AM145" s="2" t="s">
        <v>726</v>
      </c>
      <c r="AN145" s="2"/>
    </row>
    <row r="146" spans="2:40" ht="33" hidden="1" x14ac:dyDescent="0.2">
      <c r="B146" s="13" t="s">
        <v>488</v>
      </c>
      <c r="C146" s="15" t="s">
        <v>489</v>
      </c>
      <c r="D146" s="21">
        <v>2240</v>
      </c>
      <c r="E146" s="7"/>
      <c r="F146" s="7"/>
      <c r="G146" s="7"/>
      <c r="H146" s="7"/>
      <c r="I146" s="7"/>
      <c r="J146" s="7"/>
      <c r="K146" s="7"/>
      <c r="L146" s="8"/>
      <c r="M146" s="8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>
        <v>4987</v>
      </c>
      <c r="AC146" s="7"/>
      <c r="AD146" s="7"/>
      <c r="AE146" s="7"/>
      <c r="AF146" s="7"/>
      <c r="AG146" s="7"/>
      <c r="AH146" s="7"/>
      <c r="AI146" s="7"/>
      <c r="AJ146" s="68"/>
    </row>
    <row r="147" spans="2:40" ht="47.25" x14ac:dyDescent="0.2">
      <c r="B147" s="13" t="s">
        <v>145</v>
      </c>
      <c r="C147" s="15" t="s">
        <v>146</v>
      </c>
      <c r="D147" s="21">
        <v>2240</v>
      </c>
      <c r="E147" s="7"/>
      <c r="F147" s="7">
        <v>5000</v>
      </c>
      <c r="G147" s="7">
        <f t="shared" ref="G147:G176" si="5">E147+F147</f>
        <v>5000</v>
      </c>
      <c r="H147" s="93"/>
      <c r="I147" s="7"/>
      <c r="J147" s="7"/>
      <c r="K147" s="7"/>
      <c r="L147" s="8"/>
      <c r="M147" s="8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 t="s">
        <v>627</v>
      </c>
      <c r="AH147" s="7"/>
      <c r="AI147" s="7"/>
      <c r="AJ147" s="18"/>
    </row>
    <row r="148" spans="2:40" ht="78.75" x14ac:dyDescent="0.2">
      <c r="B148" s="13" t="s">
        <v>147</v>
      </c>
      <c r="C148" s="15" t="s">
        <v>148</v>
      </c>
      <c r="D148" s="21">
        <v>2240</v>
      </c>
      <c r="E148" s="7"/>
      <c r="F148" s="59"/>
      <c r="G148" s="7"/>
      <c r="H148" s="7"/>
      <c r="I148" s="7"/>
      <c r="J148" s="7"/>
      <c r="K148" s="7">
        <v>20000</v>
      </c>
      <c r="L148" s="8"/>
      <c r="M148" s="8"/>
      <c r="N148" s="7"/>
      <c r="O148" s="7"/>
      <c r="P148" s="7"/>
      <c r="Q148" s="7"/>
      <c r="R148" s="7"/>
      <c r="S148" s="63">
        <v>2670</v>
      </c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 t="s">
        <v>615</v>
      </c>
      <c r="AH148" s="7"/>
      <c r="AI148" s="7"/>
      <c r="AJ148" s="18" t="s">
        <v>711</v>
      </c>
    </row>
    <row r="149" spans="2:40" ht="47.25" x14ac:dyDescent="0.2">
      <c r="B149" s="13" t="s">
        <v>150</v>
      </c>
      <c r="C149" s="15" t="s">
        <v>151</v>
      </c>
      <c r="D149" s="21">
        <v>2240</v>
      </c>
      <c r="E149" s="7"/>
      <c r="F149" s="59"/>
      <c r="G149" s="7"/>
      <c r="H149" s="33"/>
      <c r="I149" s="60">
        <v>2388.52</v>
      </c>
      <c r="J149" s="7"/>
      <c r="K149" s="7">
        <v>4700</v>
      </c>
      <c r="L149" s="8"/>
      <c r="M149" s="7">
        <v>2150</v>
      </c>
      <c r="N149" s="7"/>
      <c r="O149" s="63">
        <v>11768.1</v>
      </c>
      <c r="P149" s="7"/>
      <c r="Q149" s="7"/>
      <c r="R149" s="7"/>
      <c r="S149" s="63">
        <v>1326</v>
      </c>
      <c r="T149" s="14">
        <v>1000</v>
      </c>
      <c r="U149" s="20"/>
      <c r="V149" s="20"/>
      <c r="W149" s="63">
        <v>2404.56</v>
      </c>
      <c r="X149" s="7"/>
      <c r="Y149" s="7"/>
      <c r="Z149" s="7">
        <f>5700+2000</f>
        <v>7700</v>
      </c>
      <c r="AA149" s="7"/>
      <c r="AB149" s="7"/>
      <c r="AC149" s="7"/>
      <c r="AD149" s="7"/>
      <c r="AE149" s="7"/>
      <c r="AF149" s="7"/>
      <c r="AG149" s="7" t="s">
        <v>560</v>
      </c>
      <c r="AH149" s="7"/>
      <c r="AI149" s="7"/>
      <c r="AJ149" s="18" t="s">
        <v>712</v>
      </c>
    </row>
    <row r="150" spans="2:40" ht="63" x14ac:dyDescent="0.2">
      <c r="B150" s="13" t="s">
        <v>490</v>
      </c>
      <c r="C150" s="15" t="s">
        <v>491</v>
      </c>
      <c r="D150" s="15">
        <v>2240</v>
      </c>
      <c r="E150" s="7"/>
      <c r="F150" s="59"/>
      <c r="G150" s="7"/>
      <c r="H150" s="33"/>
      <c r="I150" s="60"/>
      <c r="J150" s="7"/>
      <c r="K150" s="7"/>
      <c r="L150" s="8"/>
      <c r="M150" s="7"/>
      <c r="N150" s="7"/>
      <c r="O150" s="63"/>
      <c r="P150" s="7"/>
      <c r="Q150" s="7"/>
      <c r="R150" s="7"/>
      <c r="S150" s="63"/>
      <c r="T150" s="14"/>
      <c r="U150" s="63">
        <v>11985</v>
      </c>
      <c r="V150" s="20"/>
      <c r="W150" s="20"/>
      <c r="X150" s="7"/>
      <c r="Y150" s="7"/>
      <c r="Z150" s="7"/>
      <c r="AA150" s="7"/>
      <c r="AB150" s="7"/>
      <c r="AC150" s="7"/>
      <c r="AD150" s="7"/>
      <c r="AE150" s="7"/>
      <c r="AF150" s="7"/>
      <c r="AG150" s="7" t="s">
        <v>545</v>
      </c>
      <c r="AH150" s="7"/>
      <c r="AI150" s="7"/>
      <c r="AJ150" s="18" t="s">
        <v>713</v>
      </c>
    </row>
    <row r="151" spans="2:40" ht="63" x14ac:dyDescent="0.2">
      <c r="B151" s="13" t="s">
        <v>153</v>
      </c>
      <c r="C151" s="15" t="s">
        <v>154</v>
      </c>
      <c r="D151" s="21">
        <v>2240</v>
      </c>
      <c r="E151" s="7"/>
      <c r="F151" s="59"/>
      <c r="G151" s="7"/>
      <c r="H151" s="33"/>
      <c r="I151" s="60"/>
      <c r="J151" s="7"/>
      <c r="K151" s="7"/>
      <c r="L151" s="8"/>
      <c r="M151" s="7"/>
      <c r="N151" s="7">
        <v>959.1</v>
      </c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 t="s">
        <v>616</v>
      </c>
      <c r="AH151" s="7"/>
      <c r="AI151" s="7"/>
      <c r="AJ151" s="18" t="s">
        <v>714</v>
      </c>
    </row>
    <row r="152" spans="2:40" ht="45" hidden="1" x14ac:dyDescent="0.2">
      <c r="B152" s="13" t="s">
        <v>156</v>
      </c>
      <c r="C152" s="15" t="s">
        <v>157</v>
      </c>
      <c r="D152" s="21">
        <v>2240</v>
      </c>
      <c r="E152" s="7"/>
      <c r="F152" s="7">
        <v>20000</v>
      </c>
      <c r="G152" s="7">
        <f t="shared" si="5"/>
        <v>20000</v>
      </c>
      <c r="H152" s="93"/>
      <c r="I152" s="7"/>
      <c r="J152" s="7"/>
      <c r="K152" s="7"/>
      <c r="L152" s="8"/>
      <c r="M152" s="8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18" t="s">
        <v>573</v>
      </c>
    </row>
    <row r="153" spans="2:40" ht="47.25" x14ac:dyDescent="0.2">
      <c r="B153" s="13" t="s">
        <v>159</v>
      </c>
      <c r="C153" s="15" t="s">
        <v>160</v>
      </c>
      <c r="D153" s="21">
        <v>2240</v>
      </c>
      <c r="E153" s="7">
        <v>476</v>
      </c>
      <c r="F153" s="7">
        <v>1600</v>
      </c>
      <c r="G153" s="7">
        <f t="shared" si="5"/>
        <v>2076</v>
      </c>
      <c r="H153" s="93"/>
      <c r="I153" s="7"/>
      <c r="J153" s="7"/>
      <c r="K153" s="7"/>
      <c r="L153" s="8"/>
      <c r="M153" s="8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>
        <v>558.9</v>
      </c>
      <c r="AA153" s="7"/>
      <c r="AB153" s="7"/>
      <c r="AC153" s="7"/>
      <c r="AD153" s="7"/>
      <c r="AE153" s="7"/>
      <c r="AF153" s="7"/>
      <c r="AG153" s="7" t="s">
        <v>617</v>
      </c>
      <c r="AH153" s="7"/>
      <c r="AI153" s="7"/>
      <c r="AJ153" s="18"/>
    </row>
    <row r="154" spans="2:40" ht="45" hidden="1" x14ac:dyDescent="0.2">
      <c r="B154" s="13" t="s">
        <v>492</v>
      </c>
      <c r="C154" s="15" t="s">
        <v>493</v>
      </c>
      <c r="D154" s="21">
        <v>2240</v>
      </c>
      <c r="E154" s="7"/>
      <c r="F154" s="59"/>
      <c r="G154" s="7"/>
      <c r="H154" s="33"/>
      <c r="I154" s="60">
        <v>999.6</v>
      </c>
      <c r="J154" s="7"/>
      <c r="K154" s="7"/>
      <c r="L154" s="8"/>
      <c r="M154" s="8"/>
      <c r="N154" s="7"/>
      <c r="O154" s="7"/>
      <c r="P154" s="7"/>
      <c r="Q154" s="7"/>
      <c r="R154" s="7"/>
      <c r="S154" s="7"/>
      <c r="T154" s="7"/>
      <c r="U154" s="7">
        <v>2500</v>
      </c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18" t="s">
        <v>573</v>
      </c>
    </row>
    <row r="155" spans="2:40" ht="79.5" customHeight="1" x14ac:dyDescent="0.2">
      <c r="B155" s="13" t="s">
        <v>161</v>
      </c>
      <c r="C155" s="15" t="s">
        <v>162</v>
      </c>
      <c r="D155" s="21">
        <v>2240</v>
      </c>
      <c r="E155" s="7"/>
      <c r="F155" s="7">
        <v>300</v>
      </c>
      <c r="G155" s="7">
        <f t="shared" si="5"/>
        <v>300</v>
      </c>
      <c r="H155" s="93"/>
      <c r="I155" s="7"/>
      <c r="J155" s="7"/>
      <c r="K155" s="7"/>
      <c r="L155" s="8"/>
      <c r="M155" s="8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 t="s">
        <v>618</v>
      </c>
      <c r="AH155" s="7"/>
      <c r="AI155" s="7"/>
      <c r="AJ155" s="18" t="s">
        <v>557</v>
      </c>
    </row>
    <row r="156" spans="2:40" ht="63" hidden="1" x14ac:dyDescent="0.2">
      <c r="B156" s="13" t="s">
        <v>494</v>
      </c>
      <c r="C156" s="15" t="s">
        <v>495</v>
      </c>
      <c r="D156" s="21">
        <v>2240</v>
      </c>
      <c r="E156" s="7"/>
      <c r="F156" s="7"/>
      <c r="G156" s="7"/>
      <c r="H156" s="93"/>
      <c r="I156" s="7"/>
      <c r="J156" s="7"/>
      <c r="K156" s="7"/>
      <c r="L156" s="8"/>
      <c r="M156" s="8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>
        <v>3000</v>
      </c>
      <c r="AA156" s="7">
        <v>4578</v>
      </c>
      <c r="AB156" s="7"/>
      <c r="AC156" s="7"/>
      <c r="AD156" s="7"/>
      <c r="AE156" s="7"/>
      <c r="AF156" s="7"/>
      <c r="AG156" s="7"/>
      <c r="AH156" s="7"/>
      <c r="AI156" s="7"/>
      <c r="AJ156" s="18" t="s">
        <v>573</v>
      </c>
    </row>
    <row r="157" spans="2:40" ht="49.5" hidden="1" x14ac:dyDescent="0.2">
      <c r="B157" s="19" t="s">
        <v>496</v>
      </c>
      <c r="C157" s="15" t="s">
        <v>497</v>
      </c>
      <c r="D157" s="21">
        <v>2240</v>
      </c>
      <c r="E157" s="7"/>
      <c r="F157" s="7"/>
      <c r="G157" s="7"/>
      <c r="H157" s="93"/>
      <c r="I157" s="7"/>
      <c r="J157" s="7"/>
      <c r="K157" s="7"/>
      <c r="L157" s="8"/>
      <c r="M157" s="8"/>
      <c r="N157" s="7"/>
      <c r="O157" s="7">
        <v>20.399999999999999</v>
      </c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18" t="s">
        <v>573</v>
      </c>
    </row>
    <row r="158" spans="2:40" ht="63" x14ac:dyDescent="0.2">
      <c r="B158" s="13" t="s">
        <v>163</v>
      </c>
      <c r="C158" s="15" t="s">
        <v>164</v>
      </c>
      <c r="D158" s="21">
        <v>2240</v>
      </c>
      <c r="E158" s="7">
        <v>6253</v>
      </c>
      <c r="F158" s="7">
        <v>11747</v>
      </c>
      <c r="G158" s="7">
        <f t="shared" si="5"/>
        <v>18000</v>
      </c>
      <c r="H158" s="93"/>
      <c r="I158" s="7"/>
      <c r="J158" s="7"/>
      <c r="K158" s="7"/>
      <c r="L158" s="8"/>
      <c r="M158" s="8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 t="s">
        <v>601</v>
      </c>
      <c r="AH158" s="7"/>
      <c r="AI158" s="7"/>
      <c r="AJ158" s="18" t="s">
        <v>729</v>
      </c>
    </row>
    <row r="159" spans="2:40" ht="94.5" x14ac:dyDescent="0.2">
      <c r="B159" s="13" t="s">
        <v>166</v>
      </c>
      <c r="C159" s="15" t="s">
        <v>167</v>
      </c>
      <c r="D159" s="21">
        <v>2240</v>
      </c>
      <c r="E159" s="7"/>
      <c r="F159" s="7">
        <v>3600</v>
      </c>
      <c r="G159" s="7">
        <f t="shared" si="5"/>
        <v>3600</v>
      </c>
      <c r="H159" s="93"/>
      <c r="I159" s="7"/>
      <c r="J159" s="7"/>
      <c r="K159" s="7"/>
      <c r="L159" s="8"/>
      <c r="M159" s="8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 t="s">
        <v>619</v>
      </c>
      <c r="AH159" s="7"/>
      <c r="AI159" s="7"/>
      <c r="AJ159" s="18" t="s">
        <v>731</v>
      </c>
    </row>
    <row r="160" spans="2:40" ht="63" x14ac:dyDescent="0.2">
      <c r="B160" s="13" t="s">
        <v>168</v>
      </c>
      <c r="C160" s="15" t="s">
        <v>169</v>
      </c>
      <c r="D160" s="21">
        <v>2240</v>
      </c>
      <c r="E160" s="7"/>
      <c r="F160" s="7">
        <v>750</v>
      </c>
      <c r="G160" s="7">
        <f t="shared" si="5"/>
        <v>750</v>
      </c>
      <c r="H160" s="93"/>
      <c r="I160" s="7"/>
      <c r="J160" s="7"/>
      <c r="K160" s="7"/>
      <c r="L160" s="8"/>
      <c r="M160" s="8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 t="s">
        <v>620</v>
      </c>
      <c r="AH160" s="7"/>
      <c r="AI160" s="7"/>
      <c r="AJ160" s="18"/>
    </row>
    <row r="161" spans="2:36" ht="78.75" x14ac:dyDescent="0.2">
      <c r="B161" s="13" t="s">
        <v>498</v>
      </c>
      <c r="C161" s="15" t="s">
        <v>499</v>
      </c>
      <c r="D161" s="21">
        <v>2240</v>
      </c>
      <c r="E161" s="7"/>
      <c r="F161" s="7">
        <v>2520</v>
      </c>
      <c r="G161" s="7">
        <f t="shared" si="5"/>
        <v>2520</v>
      </c>
      <c r="H161" s="93"/>
      <c r="I161" s="7"/>
      <c r="J161" s="7"/>
      <c r="K161" s="7"/>
      <c r="L161" s="8"/>
      <c r="M161" s="8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 t="s">
        <v>621</v>
      </c>
      <c r="AH161" s="7"/>
      <c r="AI161" s="7"/>
      <c r="AJ161" s="18" t="s">
        <v>715</v>
      </c>
    </row>
    <row r="162" spans="2:36" ht="47.25" x14ac:dyDescent="0.2">
      <c r="B162" s="13" t="s">
        <v>170</v>
      </c>
      <c r="C162" s="15" t="s">
        <v>171</v>
      </c>
      <c r="D162" s="21">
        <v>2240</v>
      </c>
      <c r="E162" s="7"/>
      <c r="F162" s="7">
        <v>5600</v>
      </c>
      <c r="G162" s="7">
        <f t="shared" si="5"/>
        <v>5600</v>
      </c>
      <c r="H162" s="93"/>
      <c r="I162" s="7"/>
      <c r="J162" s="7"/>
      <c r="K162" s="7"/>
      <c r="L162" s="8"/>
      <c r="M162" s="8"/>
      <c r="N162" s="7"/>
      <c r="O162" s="7"/>
      <c r="P162" s="7"/>
      <c r="Q162" s="7"/>
      <c r="R162" s="7"/>
      <c r="S162" s="7"/>
      <c r="T162" s="7"/>
      <c r="U162" s="7">
        <v>5475</v>
      </c>
      <c r="V162" s="7"/>
      <c r="W162" s="7"/>
      <c r="X162" s="7"/>
      <c r="Y162" s="7">
        <v>1100</v>
      </c>
      <c r="Z162" s="7"/>
      <c r="AA162" s="7"/>
      <c r="AB162" s="7"/>
      <c r="AC162" s="7"/>
      <c r="AD162" s="7"/>
      <c r="AE162" s="7"/>
      <c r="AF162" s="7"/>
      <c r="AG162" s="7" t="s">
        <v>727</v>
      </c>
      <c r="AH162" s="7"/>
      <c r="AI162" s="7"/>
      <c r="AJ162" s="18" t="s">
        <v>564</v>
      </c>
    </row>
    <row r="163" spans="2:36" ht="99" x14ac:dyDescent="0.2">
      <c r="B163" s="19" t="s">
        <v>172</v>
      </c>
      <c r="C163" s="15" t="s">
        <v>173</v>
      </c>
      <c r="D163" s="21">
        <v>2240</v>
      </c>
      <c r="E163" s="7"/>
      <c r="F163" s="7"/>
      <c r="G163" s="7"/>
      <c r="H163" s="93"/>
      <c r="I163" s="7"/>
      <c r="J163" s="7"/>
      <c r="K163" s="7"/>
      <c r="L163" s="8"/>
      <c r="M163" s="8"/>
      <c r="N163" s="7"/>
      <c r="O163" s="7"/>
      <c r="P163" s="7"/>
      <c r="Q163" s="7"/>
      <c r="R163" s="7"/>
      <c r="S163" s="7"/>
      <c r="T163" s="7"/>
      <c r="U163" s="7"/>
      <c r="V163" s="7">
        <v>810</v>
      </c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 t="s">
        <v>622</v>
      </c>
      <c r="AH163" s="7"/>
      <c r="AI163" s="7"/>
      <c r="AJ163" s="18" t="s">
        <v>716</v>
      </c>
    </row>
    <row r="164" spans="2:36" s="12" customFormat="1" ht="47.25" x14ac:dyDescent="0.25">
      <c r="B164" s="13" t="s">
        <v>175</v>
      </c>
      <c r="C164" s="15" t="s">
        <v>176</v>
      </c>
      <c r="D164" s="15">
        <v>2240</v>
      </c>
      <c r="E164" s="14"/>
      <c r="F164" s="14" t="e">
        <f>E164+#REF!</f>
        <v>#REF!</v>
      </c>
      <c r="G164" s="14">
        <v>750</v>
      </c>
      <c r="H164" s="14"/>
      <c r="I164" s="14"/>
      <c r="J164" s="14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7" t="s">
        <v>623</v>
      </c>
      <c r="AH164" s="16"/>
      <c r="AI164" s="98"/>
      <c r="AJ164" s="18"/>
    </row>
    <row r="165" spans="2:36" ht="63" x14ac:dyDescent="0.2">
      <c r="B165" s="13" t="s">
        <v>177</v>
      </c>
      <c r="C165" s="15" t="s">
        <v>178</v>
      </c>
      <c r="D165" s="21">
        <v>2240</v>
      </c>
      <c r="E165" s="7"/>
      <c r="F165" s="7">
        <v>15000</v>
      </c>
      <c r="G165" s="7">
        <f t="shared" si="5"/>
        <v>15000</v>
      </c>
      <c r="H165" s="93"/>
      <c r="I165" s="7"/>
      <c r="J165" s="7"/>
      <c r="K165" s="7"/>
      <c r="L165" s="8"/>
      <c r="M165" s="8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 t="s">
        <v>545</v>
      </c>
      <c r="AH165" s="7"/>
      <c r="AI165" s="7"/>
      <c r="AJ165" s="18" t="s">
        <v>730</v>
      </c>
    </row>
    <row r="166" spans="2:36" ht="63" x14ac:dyDescent="0.2">
      <c r="B166" s="13" t="s">
        <v>179</v>
      </c>
      <c r="C166" s="15" t="s">
        <v>180</v>
      </c>
      <c r="D166" s="21">
        <v>2240</v>
      </c>
      <c r="E166" s="7"/>
      <c r="F166" s="7">
        <v>1600</v>
      </c>
      <c r="G166" s="7">
        <f t="shared" si="5"/>
        <v>1600</v>
      </c>
      <c r="H166" s="93"/>
      <c r="I166" s="7"/>
      <c r="J166" s="7"/>
      <c r="K166" s="7"/>
      <c r="L166" s="8"/>
      <c r="M166" s="8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 t="s">
        <v>624</v>
      </c>
      <c r="AH166" s="7"/>
      <c r="AI166" s="7"/>
      <c r="AJ166" s="18"/>
    </row>
    <row r="167" spans="2:36" s="12" customFormat="1" ht="78.75" x14ac:dyDescent="0.25">
      <c r="B167" s="13" t="s">
        <v>181</v>
      </c>
      <c r="C167" s="15" t="s">
        <v>182</v>
      </c>
      <c r="D167" s="15">
        <v>2240</v>
      </c>
      <c r="E167" s="14"/>
      <c r="F167" s="14" t="e">
        <f>E167+#REF!</f>
        <v>#REF!</v>
      </c>
      <c r="G167" s="14">
        <v>1400</v>
      </c>
      <c r="H167" s="14"/>
      <c r="I167" s="14"/>
      <c r="J167" s="14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7" t="s">
        <v>625</v>
      </c>
      <c r="AH167" s="16"/>
      <c r="AI167" s="98"/>
      <c r="AJ167" s="18"/>
    </row>
    <row r="168" spans="2:36" ht="78.75" x14ac:dyDescent="0.2">
      <c r="B168" s="13" t="s">
        <v>183</v>
      </c>
      <c r="C168" s="15" t="s">
        <v>184</v>
      </c>
      <c r="D168" s="21">
        <v>2240</v>
      </c>
      <c r="E168" s="7">
        <f>10000-89</f>
        <v>9911</v>
      </c>
      <c r="F168" s="7">
        <f>99600-10000+89</f>
        <v>89689</v>
      </c>
      <c r="G168" s="7">
        <f t="shared" si="5"/>
        <v>99600</v>
      </c>
      <c r="H168" s="93"/>
      <c r="I168" s="7"/>
      <c r="J168" s="7"/>
      <c r="K168" s="7"/>
      <c r="L168" s="8"/>
      <c r="M168" s="8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>
        <v>3185.48</v>
      </c>
      <c r="AD168" s="7"/>
      <c r="AE168" s="7"/>
      <c r="AF168" s="7"/>
      <c r="AG168" s="7" t="s">
        <v>626</v>
      </c>
      <c r="AH168" s="7"/>
      <c r="AI168" s="7"/>
      <c r="AJ168" s="18" t="s">
        <v>717</v>
      </c>
    </row>
    <row r="169" spans="2:36" ht="47.25" x14ac:dyDescent="0.2">
      <c r="B169" s="13" t="s">
        <v>185</v>
      </c>
      <c r="C169" s="15" t="s">
        <v>186</v>
      </c>
      <c r="D169" s="21">
        <v>2240</v>
      </c>
      <c r="E169" s="7">
        <v>360</v>
      </c>
      <c r="F169" s="7"/>
      <c r="G169" s="7">
        <f t="shared" si="5"/>
        <v>360</v>
      </c>
      <c r="H169" s="7"/>
      <c r="I169" s="7"/>
      <c r="J169" s="7"/>
      <c r="K169" s="7">
        <v>1799.14</v>
      </c>
      <c r="L169" s="8"/>
      <c r="M169" s="8"/>
      <c r="N169" s="7"/>
      <c r="O169" s="7"/>
      <c r="P169" s="7"/>
      <c r="Q169" s="7"/>
      <c r="R169" s="7"/>
      <c r="S169" s="7"/>
      <c r="T169" s="7"/>
      <c r="U169" s="7">
        <v>700</v>
      </c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 t="s">
        <v>627</v>
      </c>
      <c r="AH169" s="7"/>
      <c r="AI169" s="7"/>
      <c r="AJ169" s="18"/>
    </row>
    <row r="170" spans="2:36" ht="94.5" x14ac:dyDescent="0.2">
      <c r="B170" s="13" t="s">
        <v>187</v>
      </c>
      <c r="C170" s="15" t="s">
        <v>188</v>
      </c>
      <c r="D170" s="21">
        <v>2240</v>
      </c>
      <c r="E170" s="7"/>
      <c r="F170" s="7"/>
      <c r="G170" s="7"/>
      <c r="H170" s="7"/>
      <c r="I170" s="7"/>
      <c r="J170" s="7"/>
      <c r="K170" s="7"/>
      <c r="L170" s="8"/>
      <c r="M170" s="8"/>
      <c r="N170" s="7"/>
      <c r="O170" s="7"/>
      <c r="P170" s="7"/>
      <c r="Q170" s="20" t="s">
        <v>503</v>
      </c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 t="s">
        <v>628</v>
      </c>
      <c r="AH170" s="7"/>
      <c r="AI170" s="7"/>
      <c r="AJ170" s="18" t="s">
        <v>718</v>
      </c>
    </row>
    <row r="171" spans="2:36" ht="47.25" x14ac:dyDescent="0.2">
      <c r="B171" s="13" t="s">
        <v>190</v>
      </c>
      <c r="C171" s="15" t="s">
        <v>191</v>
      </c>
      <c r="D171" s="21">
        <v>2240</v>
      </c>
      <c r="E171" s="7"/>
      <c r="F171" s="7">
        <v>5000</v>
      </c>
      <c r="G171" s="7">
        <f t="shared" si="5"/>
        <v>5000</v>
      </c>
      <c r="H171" s="93"/>
      <c r="I171" s="7"/>
      <c r="J171" s="7"/>
      <c r="K171" s="7"/>
      <c r="L171" s="8"/>
      <c r="M171" s="8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62"/>
      <c r="AC171" s="7"/>
      <c r="AD171" s="7"/>
      <c r="AE171" s="7"/>
      <c r="AF171" s="7"/>
      <c r="AG171" s="7" t="s">
        <v>555</v>
      </c>
      <c r="AH171" s="7"/>
      <c r="AI171" s="7"/>
      <c r="AJ171" s="18"/>
    </row>
    <row r="172" spans="2:36" ht="78.75" x14ac:dyDescent="0.2">
      <c r="B172" s="13" t="s">
        <v>192</v>
      </c>
      <c r="C172" s="15" t="s">
        <v>193</v>
      </c>
      <c r="D172" s="21">
        <v>2240</v>
      </c>
      <c r="E172" s="7"/>
      <c r="F172" s="7">
        <v>15600</v>
      </c>
      <c r="G172" s="7">
        <f t="shared" si="5"/>
        <v>15600</v>
      </c>
      <c r="H172" s="93"/>
      <c r="I172" s="7"/>
      <c r="J172" s="7"/>
      <c r="K172" s="7"/>
      <c r="L172" s="8"/>
      <c r="M172" s="8"/>
      <c r="N172" s="7"/>
      <c r="O172" s="7"/>
      <c r="P172" s="7"/>
      <c r="Q172" s="20" t="s">
        <v>504</v>
      </c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 t="s">
        <v>629</v>
      </c>
      <c r="AH172" s="7"/>
      <c r="AI172" s="7"/>
      <c r="AJ172" s="18" t="s">
        <v>719</v>
      </c>
    </row>
    <row r="173" spans="2:36" ht="47.25" x14ac:dyDescent="0.2">
      <c r="B173" s="13" t="s">
        <v>195</v>
      </c>
      <c r="C173" s="15" t="s">
        <v>196</v>
      </c>
      <c r="D173" s="21">
        <v>2240</v>
      </c>
      <c r="E173" s="7"/>
      <c r="F173" s="7"/>
      <c r="G173" s="7"/>
      <c r="H173" s="93"/>
      <c r="I173" s="7"/>
      <c r="J173" s="7"/>
      <c r="K173" s="7"/>
      <c r="L173" s="8"/>
      <c r="M173" s="8"/>
      <c r="N173" s="7"/>
      <c r="O173" s="7"/>
      <c r="P173" s="7"/>
      <c r="Q173" s="20"/>
      <c r="R173" s="7"/>
      <c r="S173" s="7"/>
      <c r="T173" s="7"/>
      <c r="U173" s="7"/>
      <c r="V173" s="7"/>
      <c r="W173" s="7"/>
      <c r="X173" s="7"/>
      <c r="Y173" s="7">
        <v>3600</v>
      </c>
      <c r="Z173" s="7">
        <v>400</v>
      </c>
      <c r="AA173" s="7"/>
      <c r="AB173" s="7"/>
      <c r="AC173" s="7"/>
      <c r="AD173" s="7"/>
      <c r="AE173" s="7"/>
      <c r="AF173" s="7"/>
      <c r="AG173" s="7" t="s">
        <v>552</v>
      </c>
      <c r="AH173" s="7"/>
      <c r="AI173" s="7"/>
      <c r="AJ173" s="18" t="s">
        <v>557</v>
      </c>
    </row>
    <row r="174" spans="2:36" ht="47.25" x14ac:dyDescent="0.2">
      <c r="B174" s="13" t="s">
        <v>505</v>
      </c>
      <c r="C174" s="15" t="s">
        <v>506</v>
      </c>
      <c r="D174" s="21">
        <v>2240</v>
      </c>
      <c r="E174" s="7"/>
      <c r="F174" s="7">
        <v>6000</v>
      </c>
      <c r="G174" s="7">
        <f>E174+F174</f>
        <v>6000</v>
      </c>
      <c r="H174" s="93"/>
      <c r="I174" s="7"/>
      <c r="J174" s="7"/>
      <c r="K174" s="7"/>
      <c r="L174" s="8"/>
      <c r="M174" s="8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62"/>
      <c r="AC174" s="7"/>
      <c r="AD174" s="7"/>
      <c r="AE174" s="7"/>
      <c r="AF174" s="7"/>
      <c r="AG174" s="7" t="s">
        <v>552</v>
      </c>
      <c r="AH174" s="7"/>
      <c r="AI174" s="7"/>
      <c r="AJ174" s="18" t="s">
        <v>559</v>
      </c>
    </row>
    <row r="175" spans="2:36" ht="63" x14ac:dyDescent="0.2">
      <c r="B175" s="13" t="s">
        <v>197</v>
      </c>
      <c r="C175" s="15" t="s">
        <v>198</v>
      </c>
      <c r="D175" s="21">
        <v>2240</v>
      </c>
      <c r="E175" s="7">
        <v>3000</v>
      </c>
      <c r="F175" s="7">
        <v>18140</v>
      </c>
      <c r="G175" s="7">
        <f t="shared" si="5"/>
        <v>21140</v>
      </c>
      <c r="H175" s="93"/>
      <c r="I175" s="7"/>
      <c r="J175" s="7"/>
      <c r="K175" s="7"/>
      <c r="L175" s="8"/>
      <c r="M175" s="8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 t="s">
        <v>601</v>
      </c>
      <c r="AH175" s="7"/>
      <c r="AI175" s="7"/>
      <c r="AJ175" s="18" t="s">
        <v>720</v>
      </c>
    </row>
    <row r="176" spans="2:36" ht="63" x14ac:dyDescent="0.2">
      <c r="B176" s="13" t="s">
        <v>200</v>
      </c>
      <c r="C176" s="15" t="s">
        <v>201</v>
      </c>
      <c r="D176" s="21">
        <v>2240</v>
      </c>
      <c r="E176" s="7"/>
      <c r="F176" s="7">
        <v>14300</v>
      </c>
      <c r="G176" s="7">
        <f t="shared" si="5"/>
        <v>14300</v>
      </c>
      <c r="H176" s="93"/>
      <c r="I176" s="7"/>
      <c r="J176" s="7">
        <v>6802.21</v>
      </c>
      <c r="K176" s="7">
        <v>5131.8100000000004</v>
      </c>
      <c r="L176" s="8"/>
      <c r="M176" s="8"/>
      <c r="N176" s="7">
        <v>3357.55</v>
      </c>
      <c r="O176" s="7"/>
      <c r="P176" s="20" t="s">
        <v>507</v>
      </c>
      <c r="Q176" s="7"/>
      <c r="R176" s="7"/>
      <c r="S176" s="20" t="s">
        <v>508</v>
      </c>
      <c r="T176" s="7"/>
      <c r="U176" s="7"/>
      <c r="V176" s="7"/>
      <c r="W176" s="7"/>
      <c r="X176" s="7">
        <v>15009.44</v>
      </c>
      <c r="Y176" s="7">
        <v>3544</v>
      </c>
      <c r="Z176" s="7"/>
      <c r="AA176" s="7">
        <v>4322</v>
      </c>
      <c r="AB176" s="7">
        <f>4600-354.4</f>
        <v>4245.6000000000004</v>
      </c>
      <c r="AC176" s="7">
        <v>5000</v>
      </c>
      <c r="AD176" s="7"/>
      <c r="AE176" s="7"/>
      <c r="AF176" s="7"/>
      <c r="AG176" s="7" t="s">
        <v>630</v>
      </c>
      <c r="AH176" s="7"/>
      <c r="AI176" s="7"/>
      <c r="AJ176" s="18" t="s">
        <v>732</v>
      </c>
    </row>
    <row r="177" spans="2:37" ht="33" hidden="1" x14ac:dyDescent="0.2">
      <c r="B177" s="13" t="s">
        <v>509</v>
      </c>
      <c r="C177" s="15" t="s">
        <v>510</v>
      </c>
      <c r="D177" s="21">
        <v>2240</v>
      </c>
      <c r="E177" s="7"/>
      <c r="F177" s="59"/>
      <c r="G177" s="7"/>
      <c r="H177" s="33"/>
      <c r="I177" s="7"/>
      <c r="J177" s="7"/>
      <c r="K177" s="7">
        <v>2982</v>
      </c>
      <c r="L177" s="8"/>
      <c r="M177" s="8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34">
        <v>5597.28</v>
      </c>
    </row>
    <row r="178" spans="2:37" ht="126" x14ac:dyDescent="0.2">
      <c r="B178" s="65" t="s">
        <v>202</v>
      </c>
      <c r="C178" s="15"/>
      <c r="D178" s="21"/>
      <c r="E178" s="60">
        <f>SUM(E147:E177)</f>
        <v>20000</v>
      </c>
      <c r="F178" s="60" t="e">
        <f>SUM(F147:F177)</f>
        <v>#REF!</v>
      </c>
      <c r="G178" s="60">
        <f>SUM(G147:G177)</f>
        <v>238596</v>
      </c>
      <c r="H178" s="93"/>
      <c r="I178" s="7"/>
      <c r="J178" s="7"/>
      <c r="K178" s="7"/>
      <c r="L178" s="8"/>
      <c r="M178" s="8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60" t="s">
        <v>728</v>
      </c>
      <c r="AH178" s="7"/>
      <c r="AI178" s="7"/>
      <c r="AJ178" s="95" t="s">
        <v>733</v>
      </c>
    </row>
    <row r="179" spans="2:37" s="2" customFormat="1" ht="94.5" x14ac:dyDescent="0.2">
      <c r="B179" s="13" t="s">
        <v>515</v>
      </c>
      <c r="C179" s="15" t="s">
        <v>204</v>
      </c>
      <c r="D179" s="21">
        <v>2272</v>
      </c>
      <c r="E179" s="7"/>
      <c r="F179" s="7"/>
      <c r="G179" s="7"/>
      <c r="H179" s="93"/>
      <c r="I179" s="7"/>
      <c r="J179" s="7"/>
      <c r="K179" s="7"/>
      <c r="L179" s="8"/>
      <c r="M179" s="8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>
        <v>2547.41</v>
      </c>
      <c r="AC179" s="7"/>
      <c r="AD179" s="7"/>
      <c r="AE179" s="7"/>
      <c r="AF179" s="7"/>
      <c r="AG179" s="7" t="s">
        <v>735</v>
      </c>
      <c r="AH179" s="7"/>
      <c r="AI179" s="7"/>
      <c r="AJ179" s="74" t="s">
        <v>684</v>
      </c>
    </row>
    <row r="180" spans="2:37" s="2" customFormat="1" ht="89.25" customHeight="1" x14ac:dyDescent="0.2">
      <c r="B180" s="65" t="s">
        <v>205</v>
      </c>
      <c r="C180" s="76"/>
      <c r="D180" s="97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  <c r="AA180" s="60"/>
      <c r="AB180" s="60"/>
      <c r="AC180" s="60"/>
      <c r="AD180" s="60"/>
      <c r="AE180" s="60"/>
      <c r="AF180" s="60"/>
      <c r="AG180" s="60" t="s">
        <v>735</v>
      </c>
      <c r="AH180" s="7"/>
      <c r="AI180" s="7"/>
      <c r="AJ180" s="34"/>
    </row>
    <row r="181" spans="2:37" ht="47.25" x14ac:dyDescent="0.2">
      <c r="B181" s="13" t="s">
        <v>185</v>
      </c>
      <c r="C181" s="15" t="s">
        <v>186</v>
      </c>
      <c r="D181" s="21">
        <v>2282</v>
      </c>
      <c r="E181" s="7"/>
      <c r="F181" s="7">
        <v>8000</v>
      </c>
      <c r="G181" s="7">
        <f>E181+F181</f>
        <v>8000</v>
      </c>
      <c r="H181" s="7"/>
      <c r="I181" s="7"/>
      <c r="J181" s="7"/>
      <c r="K181" s="7"/>
      <c r="L181" s="8"/>
      <c r="M181" s="8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 t="s">
        <v>686</v>
      </c>
      <c r="AH181" s="7"/>
      <c r="AI181" s="7"/>
      <c r="AJ181" s="119" t="s">
        <v>687</v>
      </c>
    </row>
    <row r="182" spans="2:37" ht="63" x14ac:dyDescent="0.2">
      <c r="B182" s="65" t="s">
        <v>206</v>
      </c>
      <c r="C182" s="77"/>
      <c r="D182" s="93"/>
      <c r="E182" s="60" t="e">
        <f>SUM(#REF!)</f>
        <v>#REF!</v>
      </c>
      <c r="F182" s="60">
        <f>SUM(F181:F181)</f>
        <v>8000</v>
      </c>
      <c r="G182" s="60">
        <f>SUM(G181:G181)</f>
        <v>8000</v>
      </c>
      <c r="H182" s="93"/>
      <c r="I182" s="7"/>
      <c r="J182" s="7"/>
      <c r="K182" s="7"/>
      <c r="L182" s="8"/>
      <c r="M182" s="8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60" t="s">
        <v>686</v>
      </c>
      <c r="AH182" s="7"/>
      <c r="AI182" s="7"/>
      <c r="AJ182" s="68"/>
    </row>
    <row r="183" spans="2:37" ht="99" hidden="1" x14ac:dyDescent="0.2">
      <c r="B183" s="19" t="s">
        <v>518</v>
      </c>
      <c r="C183" s="15" t="s">
        <v>519</v>
      </c>
      <c r="D183" s="15">
        <v>2800</v>
      </c>
      <c r="E183" s="60"/>
      <c r="F183" s="60"/>
      <c r="G183" s="60"/>
      <c r="H183" s="93"/>
      <c r="I183" s="7"/>
      <c r="J183" s="7"/>
      <c r="K183" s="7"/>
      <c r="L183" s="8"/>
      <c r="M183" s="8"/>
      <c r="N183" s="7"/>
      <c r="O183" s="7"/>
      <c r="P183" s="7"/>
      <c r="Q183" s="7"/>
      <c r="R183" s="7"/>
      <c r="S183" s="7"/>
      <c r="T183" s="7"/>
      <c r="U183" s="7"/>
      <c r="V183" s="7">
        <v>1700</v>
      </c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95"/>
    </row>
    <row r="184" spans="2:37" ht="16.5" hidden="1" x14ac:dyDescent="0.2">
      <c r="B184" s="22" t="s">
        <v>520</v>
      </c>
      <c r="C184" s="78"/>
      <c r="D184" s="15"/>
      <c r="E184" s="60"/>
      <c r="F184" s="60"/>
      <c r="G184" s="60"/>
      <c r="H184" s="93"/>
      <c r="I184" s="7"/>
      <c r="J184" s="7"/>
      <c r="K184" s="7"/>
      <c r="L184" s="8"/>
      <c r="M184" s="8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60">
        <f>SUM(AG183)</f>
        <v>0</v>
      </c>
      <c r="AH184" s="7"/>
      <c r="AI184" s="7"/>
      <c r="AJ184" s="95">
        <v>5280</v>
      </c>
    </row>
    <row r="185" spans="2:37" ht="66.75" customHeight="1" x14ac:dyDescent="0.2">
      <c r="B185" s="13" t="s">
        <v>58</v>
      </c>
      <c r="C185" s="15" t="s">
        <v>59</v>
      </c>
      <c r="D185" s="15">
        <v>3110</v>
      </c>
      <c r="E185" s="7"/>
      <c r="F185" s="59"/>
      <c r="G185" s="7"/>
      <c r="H185" s="33"/>
      <c r="I185" s="7"/>
      <c r="J185" s="7"/>
      <c r="K185" s="7"/>
      <c r="L185" s="7"/>
      <c r="M185" s="8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>
        <v>3839</v>
      </c>
      <c r="Y185" s="7"/>
      <c r="Z185" s="7"/>
      <c r="AA185" s="7"/>
      <c r="AB185" s="7"/>
      <c r="AC185" s="7">
        <v>5000</v>
      </c>
      <c r="AD185" s="7"/>
      <c r="AE185" s="7"/>
      <c r="AF185" s="7"/>
      <c r="AG185" s="7" t="s">
        <v>736</v>
      </c>
      <c r="AH185" s="7"/>
      <c r="AI185" s="7"/>
      <c r="AJ185" s="18" t="s">
        <v>685</v>
      </c>
    </row>
    <row r="186" spans="2:37" ht="76.5" customHeight="1" x14ac:dyDescent="0.2">
      <c r="B186" s="65" t="s">
        <v>209</v>
      </c>
      <c r="C186" s="77"/>
      <c r="D186" s="93"/>
      <c r="E186" s="60" t="e">
        <f>SUM(E182:E184)</f>
        <v>#REF!</v>
      </c>
      <c r="F186" s="60" t="e">
        <f>SUM(#REF!)</f>
        <v>#REF!</v>
      </c>
      <c r="G186" s="60" t="e">
        <f>SUM(#REF!)</f>
        <v>#REF!</v>
      </c>
      <c r="H186" s="93"/>
      <c r="I186" s="7"/>
      <c r="J186" s="7"/>
      <c r="K186" s="7"/>
      <c r="L186" s="7"/>
      <c r="M186" s="8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60" t="s">
        <v>736</v>
      </c>
      <c r="AH186" s="7"/>
      <c r="AI186" s="7"/>
      <c r="AJ186" s="120"/>
    </row>
    <row r="187" spans="2:37" s="12" customFormat="1" ht="16.899999999999999" customHeight="1" x14ac:dyDescent="0.25">
      <c r="B187" s="134" t="s">
        <v>526</v>
      </c>
      <c r="C187" s="135"/>
      <c r="D187" s="135"/>
      <c r="E187" s="135"/>
      <c r="F187" s="135"/>
      <c r="G187" s="135"/>
      <c r="H187" s="104"/>
      <c r="I187" s="105"/>
      <c r="J187" s="105"/>
      <c r="K187" s="105"/>
      <c r="L187" s="106"/>
      <c r="M187" s="106"/>
      <c r="N187" s="106"/>
      <c r="O187" s="106"/>
      <c r="P187" s="106"/>
      <c r="Q187" s="106"/>
      <c r="R187" s="106"/>
      <c r="S187" s="106"/>
      <c r="T187" s="107"/>
      <c r="U187" s="107"/>
      <c r="V187" s="107"/>
      <c r="W187" s="107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7"/>
      <c r="AH187" s="107"/>
      <c r="AI187" s="107"/>
      <c r="AJ187" s="108"/>
    </row>
    <row r="188" spans="2:37" ht="187.15" hidden="1" customHeight="1" x14ac:dyDescent="0.2">
      <c r="B188" s="109" t="s">
        <v>46</v>
      </c>
      <c r="C188" s="110" t="s">
        <v>47</v>
      </c>
      <c r="D188" s="111">
        <v>2210</v>
      </c>
      <c r="E188" s="112">
        <v>5000</v>
      </c>
      <c r="F188" s="112"/>
      <c r="G188" s="112">
        <f>E188+F188</f>
        <v>5000</v>
      </c>
      <c r="H188" s="113"/>
      <c r="I188" s="113"/>
      <c r="J188" s="113"/>
      <c r="K188" s="113"/>
      <c r="L188" s="113"/>
      <c r="M188" s="113"/>
      <c r="N188" s="112"/>
      <c r="O188" s="112"/>
      <c r="P188" s="112"/>
      <c r="Q188" s="112"/>
      <c r="R188" s="112"/>
      <c r="S188" s="112"/>
      <c r="T188" s="112"/>
      <c r="U188" s="112"/>
      <c r="V188" s="112"/>
      <c r="W188" s="112"/>
      <c r="X188" s="112"/>
      <c r="Y188" s="112"/>
      <c r="Z188" s="112"/>
      <c r="AA188" s="112"/>
      <c r="AB188" s="112"/>
      <c r="AC188" s="112"/>
      <c r="AD188" s="112"/>
      <c r="AE188" s="112"/>
      <c r="AF188" s="112"/>
      <c r="AG188" s="112"/>
      <c r="AH188" s="112"/>
      <c r="AI188" s="112"/>
      <c r="AJ188" s="94"/>
      <c r="AK188" s="5">
        <v>42000</v>
      </c>
    </row>
    <row r="189" spans="2:37" ht="78" customHeight="1" x14ac:dyDescent="0.2">
      <c r="B189" s="13" t="s">
        <v>41</v>
      </c>
      <c r="C189" s="15" t="s">
        <v>249</v>
      </c>
      <c r="D189" s="21">
        <v>2210</v>
      </c>
      <c r="E189" s="7">
        <v>5000</v>
      </c>
      <c r="F189" s="7"/>
      <c r="G189" s="7">
        <f t="shared" ref="G189:G190" si="6">E189+F189</f>
        <v>5000</v>
      </c>
      <c r="H189" s="7"/>
      <c r="I189" s="7"/>
      <c r="J189" s="7"/>
      <c r="K189" s="7"/>
      <c r="L189" s="8"/>
      <c r="M189" s="8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 t="s">
        <v>545</v>
      </c>
      <c r="AH189" s="7"/>
      <c r="AI189" s="7"/>
      <c r="AJ189" s="95"/>
    </row>
    <row r="190" spans="2:37" ht="83.25" customHeight="1" x14ac:dyDescent="0.2">
      <c r="B190" s="13" t="s">
        <v>74</v>
      </c>
      <c r="C190" s="15" t="s">
        <v>75</v>
      </c>
      <c r="D190" s="21">
        <v>2220</v>
      </c>
      <c r="E190" s="7">
        <v>56000</v>
      </c>
      <c r="F190" s="7"/>
      <c r="G190" s="7">
        <f t="shared" si="6"/>
        <v>56000</v>
      </c>
      <c r="H190" s="93"/>
      <c r="I190" s="7"/>
      <c r="J190" s="7"/>
      <c r="K190" s="7"/>
      <c r="L190" s="7"/>
      <c r="M190" s="9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>
        <v>16867.810000000001</v>
      </c>
      <c r="AB190" s="7"/>
      <c r="AC190" s="7"/>
      <c r="AD190" s="7"/>
      <c r="AE190" s="7"/>
      <c r="AF190" s="7"/>
      <c r="AG190" s="7" t="s">
        <v>683</v>
      </c>
      <c r="AH190" s="2"/>
      <c r="AI190" s="7"/>
      <c r="AJ190" s="95"/>
    </row>
    <row r="191" spans="2:37" ht="31.15" hidden="1" customHeight="1" x14ac:dyDescent="0.2">
      <c r="B191" s="13" t="s">
        <v>77</v>
      </c>
      <c r="C191" s="15" t="s">
        <v>78</v>
      </c>
      <c r="D191" s="21">
        <v>2210</v>
      </c>
      <c r="E191" s="7">
        <f>12000+3000</f>
        <v>15000</v>
      </c>
      <c r="F191" s="8"/>
      <c r="G191" s="7">
        <f>E191+F191</f>
        <v>15000</v>
      </c>
      <c r="H191" s="8"/>
      <c r="I191" s="60"/>
      <c r="J191" s="7"/>
      <c r="K191" s="7"/>
      <c r="L191" s="7"/>
      <c r="M191" s="9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18"/>
    </row>
    <row r="192" spans="2:37" ht="15.6" hidden="1" customHeight="1" x14ac:dyDescent="0.2">
      <c r="B192" s="13" t="s">
        <v>81</v>
      </c>
      <c r="C192" s="15" t="s">
        <v>82</v>
      </c>
      <c r="D192" s="21">
        <v>2210</v>
      </c>
      <c r="E192" s="7">
        <v>15000</v>
      </c>
      <c r="F192" s="7"/>
      <c r="G192" s="7">
        <f t="shared" ref="G192:G195" si="7">E192+F192</f>
        <v>15000</v>
      </c>
      <c r="H192" s="93"/>
      <c r="I192" s="7"/>
      <c r="J192" s="7"/>
      <c r="K192" s="7"/>
      <c r="L192" s="7"/>
      <c r="M192" s="9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95"/>
    </row>
    <row r="193" spans="1:62" s="2" customFormat="1" ht="31.15" hidden="1" customHeight="1" x14ac:dyDescent="0.2">
      <c r="B193" s="13" t="s">
        <v>366</v>
      </c>
      <c r="C193" s="15" t="s">
        <v>367</v>
      </c>
      <c r="D193" s="21">
        <v>2210</v>
      </c>
      <c r="E193" s="7">
        <v>20000</v>
      </c>
      <c r="F193" s="8"/>
      <c r="G193" s="7">
        <f t="shared" si="7"/>
        <v>20000</v>
      </c>
      <c r="H193" s="8"/>
      <c r="I193" s="82"/>
      <c r="J193" s="8"/>
      <c r="K193" s="8"/>
      <c r="L193" s="8"/>
      <c r="M193" s="8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95"/>
    </row>
    <row r="194" spans="1:62" ht="41.25" hidden="1" customHeight="1" x14ac:dyDescent="0.2">
      <c r="B194" s="13" t="s">
        <v>527</v>
      </c>
      <c r="C194" s="15" t="s">
        <v>524</v>
      </c>
      <c r="D194" s="21">
        <v>2210</v>
      </c>
      <c r="E194" s="7">
        <v>5000</v>
      </c>
      <c r="F194" s="8"/>
      <c r="G194" s="7">
        <f t="shared" si="7"/>
        <v>5000</v>
      </c>
      <c r="H194" s="8"/>
      <c r="I194" s="8"/>
      <c r="J194" s="8"/>
      <c r="K194" s="8"/>
      <c r="L194" s="8"/>
      <c r="M194" s="8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18"/>
    </row>
    <row r="195" spans="1:62" ht="31.15" hidden="1" customHeight="1" x14ac:dyDescent="0.2">
      <c r="B195" s="13" t="s">
        <v>373</v>
      </c>
      <c r="C195" s="15" t="s">
        <v>374</v>
      </c>
      <c r="D195" s="21">
        <v>2210</v>
      </c>
      <c r="E195" s="7">
        <v>5000</v>
      </c>
      <c r="F195" s="8"/>
      <c r="G195" s="7">
        <f t="shared" si="7"/>
        <v>5000</v>
      </c>
      <c r="H195" s="8"/>
      <c r="I195" s="8"/>
      <c r="J195" s="8"/>
      <c r="K195" s="8"/>
      <c r="L195" s="8"/>
      <c r="M195" s="8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5"/>
    </row>
    <row r="196" spans="1:62" s="2" customFormat="1" ht="102" customHeight="1" thickBot="1" x14ac:dyDescent="0.25">
      <c r="B196" s="114" t="s">
        <v>435</v>
      </c>
      <c r="C196" s="115"/>
      <c r="D196" s="87"/>
      <c r="E196" s="88">
        <f>SUM(E188:E195)</f>
        <v>126000</v>
      </c>
      <c r="F196" s="88"/>
      <c r="G196" s="88">
        <f>SUM(G188:G195)</f>
        <v>126000</v>
      </c>
      <c r="H196" s="116"/>
      <c r="I196" s="117"/>
      <c r="J196" s="116"/>
      <c r="K196" s="116"/>
      <c r="L196" s="116"/>
      <c r="M196" s="116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8" t="s">
        <v>682</v>
      </c>
      <c r="AH196" s="89"/>
      <c r="AI196" s="89"/>
      <c r="AJ196" s="118"/>
    </row>
    <row r="197" spans="1:62" ht="35.450000000000003" customHeight="1" x14ac:dyDescent="0.2">
      <c r="A197" s="2"/>
      <c r="B197" s="122" t="s">
        <v>688</v>
      </c>
      <c r="C197" s="122"/>
      <c r="D197" s="122"/>
      <c r="E197" s="122"/>
      <c r="F197" s="122"/>
      <c r="G197" s="122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122"/>
      <c r="AJ197" s="41"/>
    </row>
    <row r="198" spans="1:62" ht="31.15" customHeight="1" x14ac:dyDescent="0.25">
      <c r="B198" s="42" t="s">
        <v>211</v>
      </c>
      <c r="C198" s="42"/>
      <c r="D198" s="123" t="s">
        <v>212</v>
      </c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3"/>
      <c r="AH198" s="41"/>
      <c r="AI198" s="41"/>
      <c r="AJ198" s="99"/>
    </row>
    <row r="199" spans="1:62" ht="15.75" x14ac:dyDescent="0.25">
      <c r="B199" s="46"/>
      <c r="C199" s="46"/>
      <c r="D199" s="47" t="s">
        <v>214</v>
      </c>
      <c r="E199" s="48"/>
      <c r="F199" s="46"/>
      <c r="G199" s="49" t="s">
        <v>215</v>
      </c>
      <c r="H199" s="49"/>
      <c r="I199" s="50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1"/>
      <c r="AH199" s="41"/>
      <c r="AI199" s="41"/>
      <c r="AJ199" s="41"/>
    </row>
    <row r="200" spans="1:62" ht="36" customHeight="1" x14ac:dyDescent="0.2">
      <c r="AH200" s="41"/>
      <c r="AI200" s="41"/>
      <c r="AJ200" s="100"/>
    </row>
    <row r="201" spans="1:62" ht="10.9" customHeight="1" x14ac:dyDescent="0.25">
      <c r="B201" s="51" t="s">
        <v>216</v>
      </c>
      <c r="C201" s="2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  <c r="AB201" s="47"/>
      <c r="AC201" s="47"/>
      <c r="AD201" s="47"/>
      <c r="AE201" s="42"/>
      <c r="AF201" s="42"/>
      <c r="AG201" s="123"/>
      <c r="AH201" s="123"/>
      <c r="AI201" s="123"/>
      <c r="AJ201" s="123"/>
      <c r="AK201" s="123"/>
      <c r="AL201" s="123"/>
      <c r="AM201" s="123"/>
      <c r="AN201" s="123"/>
      <c r="AO201" s="123"/>
      <c r="AP201" s="123"/>
      <c r="AQ201" s="123"/>
      <c r="AR201" s="123"/>
      <c r="AS201" s="123"/>
      <c r="AT201" s="123"/>
      <c r="AU201" s="123"/>
      <c r="AV201" s="123"/>
      <c r="AW201" s="123"/>
      <c r="AX201" s="123"/>
      <c r="AY201" s="123"/>
      <c r="AZ201" s="123"/>
      <c r="BA201" s="123"/>
      <c r="BB201" s="123"/>
      <c r="BC201" s="123"/>
      <c r="BD201" s="123"/>
      <c r="BE201" s="123"/>
      <c r="BF201" s="123"/>
      <c r="BG201" s="123"/>
      <c r="BH201" s="123"/>
      <c r="BI201" s="123"/>
      <c r="BJ201" s="123"/>
    </row>
    <row r="202" spans="1:62" ht="3" customHeight="1" x14ac:dyDescent="0.2">
      <c r="B202" s="52"/>
      <c r="C202" s="52"/>
      <c r="D202" s="53"/>
      <c r="E202" s="2"/>
      <c r="F202" s="54"/>
      <c r="G202" s="54"/>
      <c r="H202" s="5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41"/>
      <c r="AH202" s="41"/>
      <c r="AI202" s="41"/>
      <c r="AJ202" s="99"/>
    </row>
    <row r="203" spans="1:62" ht="28.9" customHeight="1" x14ac:dyDescent="0.2">
      <c r="B203" s="52"/>
      <c r="C203" s="52"/>
      <c r="D203" s="55"/>
      <c r="E203" s="56" t="e">
        <f>SUM(G10:G83)+G118+G145+SUM(G147:G176)+G196+#REF!</f>
        <v>#REF!</v>
      </c>
      <c r="F203" s="54"/>
      <c r="G203" s="57"/>
      <c r="H203" s="5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41"/>
      <c r="AH203" s="41"/>
      <c r="AI203" s="41"/>
      <c r="AJ203" s="41"/>
    </row>
    <row r="204" spans="1:62" ht="28.9" customHeight="1" x14ac:dyDescent="0.2">
      <c r="B204" s="52"/>
      <c r="C204" s="52"/>
      <c r="D204" s="53"/>
      <c r="E204" s="2"/>
      <c r="F204" s="54"/>
      <c r="G204" s="54"/>
      <c r="H204" s="5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41"/>
      <c r="AH204" s="41"/>
      <c r="AI204" s="41"/>
      <c r="AJ204" s="101"/>
    </row>
    <row r="205" spans="1:62" ht="28.9" customHeight="1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41"/>
      <c r="AH205" s="41"/>
      <c r="AI205" s="41"/>
      <c r="AJ205" s="99"/>
    </row>
    <row r="206" spans="1:62" ht="28.9" customHeight="1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41"/>
      <c r="AH206" s="41"/>
      <c r="AI206" s="41"/>
      <c r="AJ206" s="100"/>
    </row>
    <row r="207" spans="1:62" ht="38.25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41"/>
      <c r="AH207" s="41"/>
      <c r="AI207" s="41"/>
      <c r="AJ207" s="102"/>
    </row>
    <row r="208" spans="1:62" ht="38.25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41"/>
      <c r="AH208" s="41"/>
      <c r="AI208" s="41"/>
      <c r="AJ208" s="41"/>
    </row>
    <row r="209" spans="2:36" ht="38.2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41"/>
      <c r="AH209" s="41"/>
      <c r="AI209" s="41"/>
      <c r="AJ209" s="99"/>
    </row>
    <row r="210" spans="2:36" ht="38.2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41"/>
      <c r="AH210" s="41"/>
      <c r="AI210" s="41"/>
      <c r="AJ210" s="99"/>
    </row>
    <row r="211" spans="2:36" ht="38.2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J211" s="99"/>
    </row>
    <row r="212" spans="2:36" ht="38.25" customHeight="1" x14ac:dyDescent="0.2">
      <c r="AJ212" s="99"/>
    </row>
    <row r="213" spans="2:36" ht="38.25" customHeight="1" x14ac:dyDescent="0.2">
      <c r="AJ213" s="103"/>
    </row>
    <row r="214" spans="2:36" ht="38.25" customHeight="1" x14ac:dyDescent="0.2">
      <c r="AJ214" s="2"/>
    </row>
    <row r="215" spans="2:36" ht="38.25" customHeight="1" x14ac:dyDescent="0.2">
      <c r="AJ215" s="41"/>
    </row>
    <row r="216" spans="2:36" ht="38.25" customHeight="1" x14ac:dyDescent="0.2">
      <c r="AJ216" s="92"/>
    </row>
    <row r="217" spans="2:36" ht="38.25" customHeight="1" x14ac:dyDescent="0.2">
      <c r="AJ217" s="2"/>
    </row>
    <row r="218" spans="2:36" ht="38.25" customHeight="1" x14ac:dyDescent="0.2">
      <c r="AJ218" s="99"/>
    </row>
    <row r="219" spans="2:36" ht="38.25" customHeight="1" x14ac:dyDescent="0.2">
      <c r="AJ219" s="2"/>
    </row>
    <row r="220" spans="2:36" ht="38.25" customHeight="1" x14ac:dyDescent="0.2">
      <c r="AJ220" s="2"/>
    </row>
    <row r="221" spans="2:36" ht="38.25" customHeight="1" x14ac:dyDescent="0.2">
      <c r="AJ221" s="2"/>
    </row>
    <row r="222" spans="2:36" ht="38.25" customHeight="1" x14ac:dyDescent="0.2">
      <c r="AJ222" s="2"/>
    </row>
    <row r="223" spans="2:36" ht="38.25" customHeight="1" x14ac:dyDescent="0.2">
      <c r="AJ223" s="41"/>
    </row>
    <row r="224" spans="2:36" ht="38.25" customHeight="1" x14ac:dyDescent="0.2">
      <c r="AJ224" s="41"/>
    </row>
    <row r="225" spans="36:36" ht="38.25" customHeight="1" x14ac:dyDescent="0.2">
      <c r="AJ225" s="41"/>
    </row>
    <row r="226" spans="36:36" ht="38.25" customHeight="1" x14ac:dyDescent="0.2">
      <c r="AJ226" s="41"/>
    </row>
    <row r="227" spans="36:36" ht="38.25" customHeight="1" x14ac:dyDescent="0.2">
      <c r="AJ227" s="41"/>
    </row>
    <row r="228" spans="36:36" ht="38.25" customHeight="1" x14ac:dyDescent="0.2">
      <c r="AJ228" s="41"/>
    </row>
    <row r="229" spans="36:36" ht="38.25" customHeight="1" x14ac:dyDescent="0.2">
      <c r="AJ229" s="41"/>
    </row>
    <row r="230" spans="36:36" ht="38.25" customHeight="1" x14ac:dyDescent="0.2">
      <c r="AJ230" s="41"/>
    </row>
    <row r="231" spans="36:36" ht="38.25" customHeight="1" x14ac:dyDescent="0.2">
      <c r="AJ231" s="41"/>
    </row>
    <row r="232" spans="36:36" ht="38.25" customHeight="1" x14ac:dyDescent="0.2">
      <c r="AJ232" s="41"/>
    </row>
    <row r="233" spans="36:36" ht="38.25" customHeight="1" x14ac:dyDescent="0.2">
      <c r="AJ233" s="41"/>
    </row>
    <row r="234" spans="36:36" ht="38.25" customHeight="1" x14ac:dyDescent="0.2">
      <c r="AJ234" s="41"/>
    </row>
    <row r="235" spans="36:36" ht="38.25" customHeight="1" x14ac:dyDescent="0.2">
      <c r="AJ235" s="41"/>
    </row>
    <row r="236" spans="36:36" ht="38.25" customHeight="1" x14ac:dyDescent="0.2">
      <c r="AJ236" s="41"/>
    </row>
  </sheetData>
  <mergeCells count="43">
    <mergeCell ref="P4:P5"/>
    <mergeCell ref="A1:AJ1"/>
    <mergeCell ref="A2:AJ2"/>
    <mergeCell ref="A3:AJ3"/>
    <mergeCell ref="B4:C5"/>
    <mergeCell ref="D4:D5"/>
    <mergeCell ref="E4:F4"/>
    <mergeCell ref="G4:G5"/>
    <mergeCell ref="H4:H5"/>
    <mergeCell ref="I4:I5"/>
    <mergeCell ref="J4:J5"/>
    <mergeCell ref="AM5:AM6"/>
    <mergeCell ref="B6:C6"/>
    <mergeCell ref="B7:H7"/>
    <mergeCell ref="B187:G187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B197:AI197"/>
    <mergeCell ref="D198:AG198"/>
    <mergeCell ref="AG201:BJ201"/>
    <mergeCell ref="AI4:AI5"/>
    <mergeCell ref="AJ4:AJ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</mergeCells>
  <hyperlinks>
    <hyperlink ref="B153" r:id="rId1" display="http://dk16.dovidnyk.info/index.php?rozd=16868"/>
    <hyperlink ref="B155" r:id="rId2" display="http://dk16.dovidnyk.info/index.php?rozd=16953"/>
    <hyperlink ref="B144" r:id="rId3" display="http://dk16.dovidnyk.info/index.php?rozd=9872"/>
    <hyperlink ref="C162" r:id="rId4" display="http://dk16.dovidnyk.info/index.php?rozd=19731"/>
    <hyperlink ref="C175" r:id="rId5" display="http://dk16.dovidnyk.info/index.php?rozd=21156"/>
    <hyperlink ref="C172" r:id="rId6" display="http://dk16.dovidnyk.info/index.php?rozd=20759"/>
    <hyperlink ref="C176" r:id="rId7" display="http://dk16.dovidnyk.info/index.php?rozd=21201"/>
    <hyperlink ref="C166" r:id="rId8" display="http://dk16.dovidnyk.info/index.php?rozd=19859"/>
    <hyperlink ref="C165" r:id="rId9" display="http://dk16.dovidnyk.info/index.php?rozd=19816"/>
    <hyperlink ref="C153" r:id="rId10" display="http://dk16.dovidnyk.info/index.php?rozd=16868"/>
    <hyperlink ref="C171" r:id="rId11" display="http://dk16.dovidnyk.info/index.php?rozd=20630"/>
    <hyperlink ref="C155" r:id="rId12" display="http://dk16.dovidnyk.info/index.php?rozd=16953"/>
    <hyperlink ref="C168" r:id="rId13" display="http://dk16.dovidnyk.info/index.php?rozd=20211"/>
    <hyperlink ref="C158" r:id="rId14" display="http://dk16.dovidnyk.info/index.php?rozd=19647"/>
    <hyperlink ref="B158" r:id="rId15" display="http://dk16.dovidnyk.info/index.php?rozd=19647"/>
    <hyperlink ref="C159" r:id="rId16" display="http://dk16.dovidnyk.info/index.php?rozd=19660"/>
    <hyperlink ref="B159" r:id="rId17" display="http://dk16.dovidnyk.info/index.php?rozd=19660"/>
    <hyperlink ref="C152" r:id="rId18" display="http://dk16.dovidnyk.info/index.php?rozd=16838"/>
    <hyperlink ref="B152" r:id="rId19" display="http://dk16.dovidnyk.info/index.php?rozd=16838"/>
    <hyperlink ref="B20" r:id="rId20" display="http://dkpp.rv.ua/index.php?level=20.11.1"/>
    <hyperlink ref="B160" r:id="rId21" display="http://dkpp.rv.ua/index.php?level=62.01.11"/>
    <hyperlink ref="B171" r:id="rId22" display="http://dk16.dovidnyk.info/index.php?rozd=20630"/>
    <hyperlink ref="B174" r:id="rId23" display="http://dkpp.rv.ua/index.php?level=86.90.1"/>
    <hyperlink ref="B181" r:id="rId24" display="http://dk16.dovidnyk.info/index.php?rozd=9872"/>
    <hyperlink ref="C181" r:id="rId25" display="http://dk16.dovidnyk.info/index.php?rozd=9694"/>
    <hyperlink ref="B142" r:id="rId26" display="http://dkpp.rv.ua/index.php?level=10.86.1"/>
    <hyperlink ref="B116" r:id="rId27" display="http://dkpp.rv.ua/index.php?level=26.51.5"/>
    <hyperlink ref="B194" r:id="rId28" display="http://dk16.dovidnyk.info/index.php?rozd=19408"/>
    <hyperlink ref="C194" r:id="rId29" display="http://dk16.dovidnyk.info/index.php?rozd=19408"/>
    <hyperlink ref="B29" r:id="rId30" display="http://dkpp.rv.ua/index.php?level=20.30.2"/>
    <hyperlink ref="B89" r:id="rId31" display="http://dkpp.rv.ua/index.php?level=20.13.6"/>
    <hyperlink ref="B103" r:id="rId32" display="http://dkpp.rv.ua/index.php?level=20.59.6"/>
    <hyperlink ref="B114" r:id="rId33" display="http://dkpp.rv.ua/index.php?level=22.29.2"/>
    <hyperlink ref="B169" r:id="rId34" display="http://dkpp.rv.ua/index.php?level=74.90.1"/>
    <hyperlink ref="C149" r:id="rId35" display="http://dk16.dovidnyk.info/index.php?rozd=9694"/>
    <hyperlink ref="B154" r:id="rId36" display="http://dkpp.rv.ua/index.php?level=38.32.1"/>
    <hyperlink ref="B149" r:id="rId37" display="http://dkpp.rv.ua/index.php?level=33.13.1"/>
    <hyperlink ref="B45" r:id="rId38" display="http://dkpp.rv.ua/index.php?level=22.29.2"/>
    <hyperlink ref="B18" r:id="rId39" display="http://dkpp.rv.ua/index.php?level=17.29.1"/>
    <hyperlink ref="B148" r:id="rId40" display="http://dk16.dovidnyk.info/index.php?rozd=14751"/>
    <hyperlink ref="C177" r:id="rId41" display="http://dk16.dovidnyk.info/index.php?rozd=21201"/>
    <hyperlink ref="B177" r:id="rId42" display="http://dkpp.rv.ua/index.php?level=96.09.1"/>
    <hyperlink ref="C44" r:id="rId43" tooltip="Дерево коду 22.23.1" display="http://dkpp.rv.ua/index.php?search=22.23.1&amp;type=code"/>
    <hyperlink ref="B44" r:id="rId44" display="http://dkpp.rv.ua/index.php?level=22.23.1"/>
    <hyperlink ref="B25" r:id="rId45" display="http://dkpp.rv.ua/index.php?level=20.14.3"/>
    <hyperlink ref="B151" r:id="rId46" display="http://dkpp.rv.ua/index.php?level=38.11.2"/>
    <hyperlink ref="B76" r:id="rId47" display="http://dkpp.rv.ua/index.php?level=31.03.1"/>
    <hyperlink ref="B10" r:id="rId48" display="http://dkpp.rv.ua/index.php?level=14.19.2"/>
    <hyperlink ref="B15" r:id="rId49" display="http://dkpp.rv.ua/index.php?level=17.12.7"/>
    <hyperlink ref="B11" r:id="rId50" display="http://dkpp.rv.ua/index.php?level=16.29.1"/>
    <hyperlink ref="B13" r:id="rId51" display="http://dkpp.rv.ua/index.php?level=17.12.1"/>
    <hyperlink ref="B14" r:id="rId52" display="http://dkpp.rv.ua/index.php?level=17.12.2"/>
    <hyperlink ref="B42" r:id="rId53" display="http://dkpp.rv.ua/index.php?level=22.21.2"/>
    <hyperlink ref="B47" r:id="rId54" display="http://dkpp.rv.ua/index.php?level=23.20.1"/>
    <hyperlink ref="B49" r:id="rId55" display="http://dkpp.rv.ua/index.php?level=23.51.1"/>
    <hyperlink ref="B51" r:id="rId56" display="http://dkpp.rv.ua/index.php?level=24.20.4"/>
    <hyperlink ref="B53" r:id="rId57" display="http://dkpp.rv.ua/index.php?level=25.72.1"/>
    <hyperlink ref="B56" r:id="rId58" display="http://dkpp.rv.ua/index.php?level=25.73.3"/>
    <hyperlink ref="B55" r:id="rId59" display="http://dkpp.rv.ua/index.php?level=25.73.2"/>
    <hyperlink ref="B54" r:id="rId60" display="http://dkpp.rv.ua/index.php?level=25.73.1"/>
    <hyperlink ref="B60" r:id="rId61" display="http://dkpp.rv.ua/index.php?level=25.73.2"/>
    <hyperlink ref="B65" r:id="rId62" display="http://dkpp.rv.ua/index.php?level=27.40.1"/>
    <hyperlink ref="B67" r:id="rId63" display="http://dkpp.rv.ua/index.php?level=28.14.1"/>
    <hyperlink ref="B70" r:id="rId64" display="http://dkpp.rv.ua/index.php?level=28.30.4"/>
    <hyperlink ref="B35" r:id="rId65" display="http://dkpp.rv.ua/index.php?level=21.10.6"/>
    <hyperlink ref="B80" r:id="rId66" display="http://dkpp.rv.ua/index.php?level=32.91.1"/>
    <hyperlink ref="C170" r:id="rId67" display="http://dk16.dovidnyk.info/index.php?rozd=20759"/>
    <hyperlink ref="B170" r:id="rId68" display="http://dkpp.rv.ua/index.php?level=80.20.1"/>
    <hyperlink ref="B113" r:id="rId69" display="http://dkpp.rv.ua/index.php?level=22.22.1"/>
    <hyperlink ref="B31" r:id="rId70" display="http://dkpp.rv.ua/index.php?level=20.52.1"/>
    <hyperlink ref="B61" r:id="rId71" display="http://dkpp.rv.ua/index.php?level=26.11.3"/>
    <hyperlink ref="B81" r:id="rId72" display="http://dkpp.rv.ua/index.php?level=32.99.1"/>
    <hyperlink ref="B43" r:id="rId73" display="http://dkpp.rv.ua/index.php?level=22.21.4"/>
    <hyperlink ref="B50" r:id="rId74" display="http://dkpp.rv.ua/index.php?level=23.52.2"/>
    <hyperlink ref="B52" r:id="rId75" display="http://dkpp.rv.ua/index.php?level=25.71.1"/>
    <hyperlink ref="B150" r:id="rId76" display="http://dkpp.rv.ua/index.php?level=33.14.1"/>
    <hyperlink ref="B163" r:id="rId77" display="http://dkpp.rv.ua/index.php?level=63.11.1"/>
    <hyperlink ref="B183" r:id="rId78" display="http://dkpp.rv.ua/index.php?level=84.12.1"/>
    <hyperlink ref="B173" r:id="rId79" display="http://dkpp.rv.ua/index.php?level=86.10.1"/>
    <hyperlink ref="B73" r:id="rId80" display="http://dk16.dovidnyk.info/index.php?rozd=14094"/>
    <hyperlink ref="C33" r:id="rId81" display="http://dk16.dovidnyk.info/index.php?rozd=10488"/>
    <hyperlink ref="B33" r:id="rId82" display="http://dk16.dovidnyk.info/index.php?rozd=10488"/>
    <hyperlink ref="B79" r:id="rId83" display="http://dkpp.rv.ua/index.php?level=32.50.1"/>
    <hyperlink ref="B156" r:id="rId84" display="http://dkpp.rv.ua/index.php?level=43.22.1"/>
    <hyperlink ref="C156" r:id="rId85" tooltip="Дерево коду 43.22.1" display="http://dkpp.rv.ua/index.php?search=43.22.1&amp;type=code"/>
    <hyperlink ref="C73" r:id="rId86" display="http://dk16.dovidnyk.info/index.php?rozd=14094"/>
    <hyperlink ref="B8" r:id="rId87" display="http://dkpp.rv.ua/index.php?level=13.10.7"/>
    <hyperlink ref="B9" r:id="rId88" display="http://dkpp.rv.ua/index.php?level=13.20.3"/>
    <hyperlink ref="B12" r:id="rId89" display="http://dkpp.rv.ua/index.php?level=16.29.2"/>
    <hyperlink ref="B64" r:id="rId90" display="http://dkpp.rv.ua/index.php?level=27.40.1"/>
    <hyperlink ref="B72" r:id="rId91" display="http://dkpp.rv.ua/index.php?level=29.31.2"/>
    <hyperlink ref="B16" r:id="rId92" display="http://dkpp.rv.ua/index.php?level=17.22.1"/>
    <hyperlink ref="B58" r:id="rId93" display="http://dkpp.rv.ua/index.php?level=25.94.1"/>
    <hyperlink ref="B59" r:id="rId94" display="http://dkpp.rv.ua/index.php?level=25.99.1"/>
    <hyperlink ref="C147" r:id="rId95" display="http://dk16.dovidnyk.info/index.php?rozd=9694"/>
    <hyperlink ref="C146" r:id="rId96" display="http://dk16.dovidnyk.info/index.php?rozd=484"/>
    <hyperlink ref="B71" r:id="rId97" display="http://dkpp.rv.ua/index.php?level=29.10.1"/>
    <hyperlink ref="B179" r:id="rId98" display="http://dkpp.rv.ua/index.php?level=37.00.1"/>
    <hyperlink ref="B38" r:id="rId99" display="http://dkpp.rv.ua/index.php?level=22.19.2"/>
    <hyperlink ref="B41" r:id="rId100" display="http://dkpp.rv.ua/index.php?level=22.19.7"/>
    <hyperlink ref="B130" r:id="rId101" display="http://dkpp.rv.ua/index.php?level=10.51.3"/>
    <hyperlink ref="B129" r:id="rId102" display="http://dkpp.rv.ua/index.php?level=10.51.1"/>
    <hyperlink ref="B24" r:id="rId103" display="http://dkpp.rv.ua/index.php?level=20.13.5"/>
    <hyperlink ref="B63" r:id="rId104" display="http://dkpp.rv.ua/index.php?level=27.33.1"/>
    <hyperlink ref="B62" r:id="rId105" display="http://dkpp.rv.ua/index.php?level=26.20.1"/>
    <hyperlink ref="B164" r:id="rId106" display="http://dkpp.rv.ua/index.php?level=63.99.1"/>
    <hyperlink ref="C167" r:id="rId107" display="http://dk16.dovidnyk.info/index.php?rozd=19868"/>
    <hyperlink ref="B48" r:id="rId108" display="http://dkpp.rv.ua/index.php?level=23.42.1"/>
    <hyperlink ref="B69" r:id="rId109" display="http://dkpp.rv.ua/index.php?level=28.29.1"/>
    <hyperlink ref="B68" r:id="rId110" display="http://dkpp.rv.ua/index.php?level=28.25.1"/>
    <hyperlink ref="B193" r:id="rId111" display="http://dkpp.rv.ua/index.php?level=32.50.1"/>
    <hyperlink ref="C193" r:id="rId112" display="http://dk16.dovidnyk.info/index.php?rozd=12291"/>
    <hyperlink ref="B185" r:id="rId113" display="http://dkpp.rv.ua/index.php?level=26.20.1"/>
  </hyperlinks>
  <pageMargins left="0" right="7.874015748031496E-2" top="0.43307086614173229" bottom="0.19685039370078741" header="0.27559055118110237" footer="0.23622047244094491"/>
  <pageSetup paperSize="9" scale="85" orientation="portrait" horizontalDpi="200" verticalDpi="200" r:id="rId114"/>
  <headerFooter scaleWithDoc="0">
    <oddHeader>&amp;C&amp;P</oddHeader>
  </headerFooter>
  <rowBreaks count="1" manualBreakCount="1">
    <brk id="186" max="16383" man="1"/>
  </rowBreaks>
  <colBreaks count="1" manualBreakCount="1">
    <brk id="3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3"/>
  <sheetViews>
    <sheetView topLeftCell="A137" zoomScaleNormal="100" zoomScaleSheetLayoutView="115" workbookViewId="0">
      <selection activeCell="AG142" sqref="AG117:AG142"/>
    </sheetView>
  </sheetViews>
  <sheetFormatPr defaultColWidth="15.5703125" defaultRowHeight="38.25" customHeight="1" x14ac:dyDescent="0.2"/>
  <cols>
    <col min="1" max="1" width="2.28515625" style="5" customWidth="1"/>
    <col min="2" max="2" width="36.85546875" style="5" customWidth="1"/>
    <col min="3" max="3" width="8.7109375" style="5" customWidth="1"/>
    <col min="4" max="4" width="9.28515625" style="5" customWidth="1"/>
    <col min="5" max="5" width="11.42578125" style="5" hidden="1" customWidth="1"/>
    <col min="6" max="6" width="12.42578125" style="5" hidden="1" customWidth="1"/>
    <col min="7" max="7" width="10.5703125" style="5" hidden="1" customWidth="1"/>
    <col min="8" max="8" width="5.5703125" style="5" hidden="1" customWidth="1"/>
    <col min="9" max="9" width="10.7109375" style="5" hidden="1" customWidth="1"/>
    <col min="10" max="10" width="9.28515625" style="5" hidden="1" customWidth="1"/>
    <col min="11" max="11" width="9.42578125" style="5" hidden="1" customWidth="1"/>
    <col min="12" max="12" width="11.28515625" style="5" hidden="1" customWidth="1"/>
    <col min="13" max="13" width="9.5703125" style="5" hidden="1" customWidth="1"/>
    <col min="14" max="14" width="9.28515625" style="5" hidden="1" customWidth="1"/>
    <col min="15" max="15" width="8.7109375" style="5" hidden="1" customWidth="1"/>
    <col min="16" max="16" width="13.42578125" style="5" hidden="1" customWidth="1"/>
    <col min="17" max="17" width="13.7109375" style="5" hidden="1" customWidth="1"/>
    <col min="18" max="18" width="8" style="5" hidden="1" customWidth="1"/>
    <col min="19" max="19" width="11.7109375" style="5" hidden="1" customWidth="1"/>
    <col min="20" max="25" width="15.5703125" style="5" hidden="1" customWidth="1"/>
    <col min="26" max="27" width="11.85546875" style="5" hidden="1" customWidth="1"/>
    <col min="28" max="28" width="10.7109375" style="5" hidden="1" customWidth="1"/>
    <col min="29" max="29" width="12" style="5" hidden="1" customWidth="1"/>
    <col min="30" max="31" width="11.85546875" style="5" hidden="1" customWidth="1"/>
    <col min="32" max="32" width="0.28515625" style="5" hidden="1" customWidth="1"/>
    <col min="33" max="33" width="14.85546875" style="5" customWidth="1"/>
    <col min="34" max="34" width="11.7109375" style="5" customWidth="1"/>
    <col min="35" max="35" width="14.140625" style="5" customWidth="1"/>
    <col min="36" max="36" width="15.140625" style="5" customWidth="1"/>
    <col min="37" max="37" width="18.85546875" style="5" customWidth="1"/>
    <col min="38" max="39" width="12" style="5" customWidth="1"/>
    <col min="40" max="16384" width="15.5703125" style="5"/>
  </cols>
  <sheetData>
    <row r="1" spans="1:39" s="1" customFormat="1" ht="33.6" customHeight="1" x14ac:dyDescent="0.25">
      <c r="A1" s="136" t="s">
        <v>536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</row>
    <row r="2" spans="1:39" s="1" customFormat="1" ht="15.6" customHeight="1" x14ac:dyDescent="0.25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</row>
    <row r="3" spans="1:39" s="1" customFormat="1" ht="53.45" customHeight="1" thickBot="1" x14ac:dyDescent="0.3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</row>
    <row r="4" spans="1:39" s="2" customFormat="1" ht="38.25" customHeight="1" x14ac:dyDescent="0.2">
      <c r="B4" s="137" t="s">
        <v>3</v>
      </c>
      <c r="C4" s="128"/>
      <c r="D4" s="128" t="s">
        <v>217</v>
      </c>
      <c r="E4" s="128" t="s">
        <v>5</v>
      </c>
      <c r="F4" s="128"/>
      <c r="G4" s="124" t="s">
        <v>6</v>
      </c>
      <c r="H4" s="128" t="s">
        <v>7</v>
      </c>
      <c r="I4" s="128" t="s">
        <v>8</v>
      </c>
      <c r="J4" s="128" t="s">
        <v>9</v>
      </c>
      <c r="K4" s="128" t="s">
        <v>10</v>
      </c>
      <c r="L4" s="128" t="s">
        <v>11</v>
      </c>
      <c r="M4" s="128" t="s">
        <v>12</v>
      </c>
      <c r="N4" s="128" t="s">
        <v>13</v>
      </c>
      <c r="O4" s="128" t="s">
        <v>14</v>
      </c>
      <c r="P4" s="128" t="s">
        <v>15</v>
      </c>
      <c r="Q4" s="128" t="s">
        <v>16</v>
      </c>
      <c r="R4" s="128" t="s">
        <v>17</v>
      </c>
      <c r="S4" s="128" t="s">
        <v>18</v>
      </c>
      <c r="T4" s="128" t="s">
        <v>19</v>
      </c>
      <c r="U4" s="128" t="s">
        <v>20</v>
      </c>
      <c r="V4" s="128" t="s">
        <v>21</v>
      </c>
      <c r="W4" s="128" t="s">
        <v>22</v>
      </c>
      <c r="X4" s="128" t="s">
        <v>23</v>
      </c>
      <c r="Y4" s="128" t="s">
        <v>24</v>
      </c>
      <c r="Z4" s="128" t="s">
        <v>25</v>
      </c>
      <c r="AA4" s="128" t="s">
        <v>26</v>
      </c>
      <c r="AB4" s="128" t="s">
        <v>27</v>
      </c>
      <c r="AC4" s="128" t="s">
        <v>28</v>
      </c>
      <c r="AD4" s="128" t="s">
        <v>29</v>
      </c>
      <c r="AE4" s="128" t="s">
        <v>30</v>
      </c>
      <c r="AF4" s="128" t="s">
        <v>31</v>
      </c>
      <c r="AG4" s="124" t="s">
        <v>6</v>
      </c>
      <c r="AH4" s="124" t="s">
        <v>33</v>
      </c>
      <c r="AI4" s="124" t="s">
        <v>34</v>
      </c>
      <c r="AJ4" s="126" t="s">
        <v>7</v>
      </c>
    </row>
    <row r="5" spans="1:39" s="2" customFormat="1" ht="67.900000000000006" customHeight="1" x14ac:dyDescent="0.2">
      <c r="B5" s="133"/>
      <c r="C5" s="129"/>
      <c r="D5" s="129"/>
      <c r="E5" s="3" t="s">
        <v>35</v>
      </c>
      <c r="F5" s="4" t="s">
        <v>36</v>
      </c>
      <c r="G5" s="125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5"/>
      <c r="AH5" s="125"/>
      <c r="AI5" s="125"/>
      <c r="AJ5" s="127"/>
      <c r="AM5" s="130"/>
    </row>
    <row r="6" spans="1:39" ht="21.75" customHeight="1" x14ac:dyDescent="0.2">
      <c r="B6" s="131">
        <v>1</v>
      </c>
      <c r="C6" s="132"/>
      <c r="D6" s="6">
        <v>2</v>
      </c>
      <c r="E6" s="6">
        <v>4</v>
      </c>
      <c r="F6" s="6">
        <v>5</v>
      </c>
      <c r="G6" s="6">
        <v>6</v>
      </c>
      <c r="H6" s="6">
        <v>7</v>
      </c>
      <c r="I6" s="7"/>
      <c r="J6" s="7"/>
      <c r="K6" s="7"/>
      <c r="L6" s="8"/>
      <c r="M6" s="8"/>
      <c r="N6" s="8"/>
      <c r="O6" s="8"/>
      <c r="P6" s="8"/>
      <c r="Q6" s="8"/>
      <c r="R6" s="8"/>
      <c r="S6" s="8"/>
      <c r="T6" s="9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>
        <v>3</v>
      </c>
      <c r="AH6" s="6">
        <v>4</v>
      </c>
      <c r="AI6" s="6">
        <v>5</v>
      </c>
      <c r="AJ6" s="10">
        <v>6</v>
      </c>
      <c r="AM6" s="130"/>
    </row>
    <row r="7" spans="1:39" ht="15.75" x14ac:dyDescent="0.2">
      <c r="B7" s="133" t="s">
        <v>37</v>
      </c>
      <c r="C7" s="129"/>
      <c r="D7" s="129"/>
      <c r="E7" s="129"/>
      <c r="F7" s="129"/>
      <c r="G7" s="129"/>
      <c r="H7" s="129"/>
      <c r="I7" s="7"/>
      <c r="J7" s="7"/>
      <c r="K7" s="7"/>
      <c r="L7" s="8"/>
      <c r="M7" s="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9"/>
      <c r="AH7" s="9"/>
      <c r="AI7" s="9"/>
      <c r="AJ7" s="11"/>
      <c r="AM7" s="2"/>
    </row>
    <row r="8" spans="1:39" ht="78.75" x14ac:dyDescent="0.2">
      <c r="B8" s="13" t="s">
        <v>218</v>
      </c>
      <c r="C8" s="7" t="s">
        <v>219</v>
      </c>
      <c r="D8" s="21">
        <v>2210</v>
      </c>
      <c r="E8" s="4"/>
      <c r="F8" s="4"/>
      <c r="G8" s="4"/>
      <c r="H8" s="4"/>
      <c r="I8" s="7"/>
      <c r="J8" s="7"/>
      <c r="K8" s="7"/>
      <c r="L8" s="8"/>
      <c r="M8" s="8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>
        <v>38.729999999999997</v>
      </c>
      <c r="AB8" s="7"/>
      <c r="AC8" s="7"/>
      <c r="AD8" s="7"/>
      <c r="AE8" s="7"/>
      <c r="AF8" s="7"/>
      <c r="AG8" s="7"/>
      <c r="AH8" s="9"/>
      <c r="AI8" s="9"/>
      <c r="AJ8" s="58"/>
      <c r="AM8" s="2"/>
    </row>
    <row r="9" spans="1:39" ht="47.25" x14ac:dyDescent="0.2">
      <c r="B9" s="13" t="s">
        <v>220</v>
      </c>
      <c r="C9" s="7" t="s">
        <v>221</v>
      </c>
      <c r="D9" s="21">
        <v>2210</v>
      </c>
      <c r="E9" s="4"/>
      <c r="F9" s="4"/>
      <c r="G9" s="4"/>
      <c r="H9" s="4"/>
      <c r="I9" s="7"/>
      <c r="J9" s="7"/>
      <c r="K9" s="7"/>
      <c r="L9" s="8"/>
      <c r="M9" s="8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>
        <v>39.64</v>
      </c>
      <c r="AB9" s="7"/>
      <c r="AC9" s="7"/>
      <c r="AD9" s="7"/>
      <c r="AE9" s="7"/>
      <c r="AF9" s="7"/>
      <c r="AG9" s="7"/>
      <c r="AH9" s="9"/>
      <c r="AI9" s="9"/>
      <c r="AJ9" s="58"/>
    </row>
    <row r="10" spans="1:39" ht="47.25" x14ac:dyDescent="0.2">
      <c r="B10" s="13" t="s">
        <v>227</v>
      </c>
      <c r="C10" s="15" t="s">
        <v>228</v>
      </c>
      <c r="D10" s="21">
        <v>2210</v>
      </c>
      <c r="E10" s="7"/>
      <c r="F10" s="59"/>
      <c r="G10" s="7">
        <f t="shared" ref="G10:G32" si="0">E10+F10</f>
        <v>0</v>
      </c>
      <c r="H10" s="33"/>
      <c r="I10" s="60"/>
      <c r="J10" s="7"/>
      <c r="K10" s="7"/>
      <c r="L10" s="8"/>
      <c r="M10" s="7"/>
      <c r="N10" s="7"/>
      <c r="O10" s="7"/>
      <c r="P10" s="7"/>
      <c r="Q10" s="7"/>
      <c r="R10" s="7"/>
      <c r="S10" s="20" t="s">
        <v>229</v>
      </c>
      <c r="T10" s="7"/>
      <c r="U10" s="7"/>
      <c r="V10" s="7"/>
      <c r="W10" s="7"/>
      <c r="X10" s="7"/>
      <c r="Y10" s="7"/>
      <c r="Z10" s="7"/>
      <c r="AA10" s="7">
        <v>110.5</v>
      </c>
      <c r="AB10" s="7"/>
      <c r="AC10" s="7"/>
      <c r="AD10" s="7"/>
      <c r="AE10" s="7"/>
      <c r="AF10" s="7"/>
      <c r="AG10" s="7"/>
      <c r="AH10" s="7"/>
      <c r="AI10" s="7"/>
      <c r="AJ10" s="58"/>
    </row>
    <row r="11" spans="1:39" ht="45.6" customHeight="1" x14ac:dyDescent="0.2">
      <c r="B11" s="13" t="s">
        <v>230</v>
      </c>
      <c r="C11" s="15" t="s">
        <v>231</v>
      </c>
      <c r="D11" s="21">
        <v>2210</v>
      </c>
      <c r="E11" s="7"/>
      <c r="F11" s="59"/>
      <c r="G11" s="7">
        <f>E11+F11</f>
        <v>0</v>
      </c>
      <c r="H11" s="33"/>
      <c r="I11" s="60"/>
      <c r="J11" s="7"/>
      <c r="K11" s="7"/>
      <c r="L11" s="8"/>
      <c r="M11" s="7"/>
      <c r="N11" s="7"/>
      <c r="O11" s="7"/>
      <c r="P11" s="7"/>
      <c r="Q11" s="7"/>
      <c r="R11" s="7"/>
      <c r="S11" s="20" t="s">
        <v>232</v>
      </c>
      <c r="T11" s="7"/>
      <c r="U11" s="7"/>
      <c r="V11" s="7"/>
      <c r="W11" s="7"/>
      <c r="X11" s="7"/>
      <c r="Y11" s="7"/>
      <c r="Z11" s="7"/>
      <c r="AA11" s="7">
        <v>137.5</v>
      </c>
      <c r="AB11" s="7"/>
      <c r="AC11" s="7"/>
      <c r="AD11" s="7"/>
      <c r="AE11" s="7"/>
      <c r="AF11" s="7"/>
      <c r="AG11" s="7"/>
      <c r="AH11" s="7"/>
      <c r="AI11" s="7"/>
      <c r="AJ11" s="58"/>
    </row>
    <row r="12" spans="1:39" ht="59.45" customHeight="1" x14ac:dyDescent="0.2">
      <c r="B12" s="13" t="s">
        <v>233</v>
      </c>
      <c r="C12" s="15" t="s">
        <v>234</v>
      </c>
      <c r="D12" s="21">
        <v>2210</v>
      </c>
      <c r="E12" s="7"/>
      <c r="F12" s="59"/>
      <c r="G12" s="7"/>
      <c r="H12" s="33"/>
      <c r="I12" s="60"/>
      <c r="J12" s="7"/>
      <c r="K12" s="7"/>
      <c r="L12" s="8"/>
      <c r="M12" s="7"/>
      <c r="N12" s="7"/>
      <c r="O12" s="7"/>
      <c r="P12" s="7"/>
      <c r="Q12" s="7"/>
      <c r="R12" s="7"/>
      <c r="S12" s="20"/>
      <c r="T12" s="7"/>
      <c r="U12" s="7"/>
      <c r="V12" s="7"/>
      <c r="W12" s="7"/>
      <c r="X12" s="7"/>
      <c r="Y12" s="7"/>
      <c r="Z12" s="7"/>
      <c r="AA12" s="7">
        <v>11.5</v>
      </c>
      <c r="AB12" s="7"/>
      <c r="AC12" s="7"/>
      <c r="AD12" s="7"/>
      <c r="AE12" s="7"/>
      <c r="AF12" s="7"/>
      <c r="AG12" s="7"/>
      <c r="AH12" s="7"/>
      <c r="AI12" s="7"/>
      <c r="AJ12" s="58"/>
    </row>
    <row r="13" spans="1:39" ht="66" x14ac:dyDescent="0.2">
      <c r="B13" s="19" t="s">
        <v>235</v>
      </c>
      <c r="C13" s="15" t="s">
        <v>236</v>
      </c>
      <c r="D13" s="21">
        <v>2210</v>
      </c>
      <c r="E13" s="7"/>
      <c r="F13" s="59"/>
      <c r="G13" s="7">
        <f t="shared" si="0"/>
        <v>0</v>
      </c>
      <c r="H13" s="33"/>
      <c r="I13" s="60"/>
      <c r="J13" s="7"/>
      <c r="K13" s="7"/>
      <c r="L13" s="8"/>
      <c r="M13" s="7"/>
      <c r="N13" s="7"/>
      <c r="O13" s="7"/>
      <c r="P13" s="7"/>
      <c r="Q13" s="7"/>
      <c r="R13" s="7"/>
      <c r="S13" s="20" t="s">
        <v>237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58"/>
    </row>
    <row r="14" spans="1:39" ht="82.5" x14ac:dyDescent="0.2">
      <c r="B14" s="19" t="s">
        <v>238</v>
      </c>
      <c r="C14" s="15" t="s">
        <v>239</v>
      </c>
      <c r="D14" s="21">
        <v>2210</v>
      </c>
      <c r="E14" s="7"/>
      <c r="F14" s="59"/>
      <c r="G14" s="7">
        <f t="shared" si="0"/>
        <v>0</v>
      </c>
      <c r="H14" s="33"/>
      <c r="I14" s="60"/>
      <c r="J14" s="7"/>
      <c r="K14" s="7"/>
      <c r="L14" s="8"/>
      <c r="M14" s="7"/>
      <c r="N14" s="7"/>
      <c r="O14" s="7"/>
      <c r="P14" s="7"/>
      <c r="Q14" s="7"/>
      <c r="R14" s="7"/>
      <c r="S14" s="20" t="s">
        <v>240</v>
      </c>
      <c r="T14" s="7"/>
      <c r="U14" s="7"/>
      <c r="V14" s="7"/>
      <c r="W14" s="7"/>
      <c r="X14" s="7"/>
      <c r="Y14" s="7"/>
      <c r="Z14" s="7"/>
      <c r="AA14" s="7">
        <v>39.299999999999997</v>
      </c>
      <c r="AB14" s="7"/>
      <c r="AC14" s="7"/>
      <c r="AD14" s="7"/>
      <c r="AE14" s="7"/>
      <c r="AF14" s="7"/>
      <c r="AG14" s="7"/>
      <c r="AH14" s="7"/>
      <c r="AI14" s="7"/>
      <c r="AJ14" s="58"/>
    </row>
    <row r="15" spans="1:39" ht="43.9" customHeight="1" x14ac:dyDescent="0.2">
      <c r="B15" s="13" t="s">
        <v>43</v>
      </c>
      <c r="C15" s="59" t="s">
        <v>44</v>
      </c>
      <c r="D15" s="21">
        <v>2210</v>
      </c>
      <c r="E15" s="7"/>
      <c r="F15" s="59"/>
      <c r="G15" s="7">
        <f t="shared" si="0"/>
        <v>0</v>
      </c>
      <c r="H15" s="33"/>
      <c r="I15" s="60"/>
      <c r="J15" s="7"/>
      <c r="K15" s="7"/>
      <c r="L15" s="8"/>
      <c r="M15" s="7">
        <v>800</v>
      </c>
      <c r="N15" s="7">
        <v>388</v>
      </c>
      <c r="O15" s="7"/>
      <c r="P15" s="20" t="s">
        <v>241</v>
      </c>
      <c r="Q15" s="7">
        <v>99</v>
      </c>
      <c r="R15" s="7">
        <v>3400</v>
      </c>
      <c r="S15" s="7"/>
      <c r="T15" s="7"/>
      <c r="U15" s="7"/>
      <c r="V15" s="7"/>
      <c r="W15" s="7"/>
      <c r="X15" s="7"/>
      <c r="Y15" s="7">
        <v>3000</v>
      </c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58">
        <v>1329</v>
      </c>
    </row>
    <row r="16" spans="1:39" ht="43.9" customHeight="1" x14ac:dyDescent="0.2">
      <c r="B16" s="13" t="s">
        <v>242</v>
      </c>
      <c r="C16" s="59" t="s">
        <v>243</v>
      </c>
      <c r="D16" s="21">
        <v>2210</v>
      </c>
      <c r="E16" s="7"/>
      <c r="F16" s="59"/>
      <c r="G16" s="7"/>
      <c r="H16" s="33"/>
      <c r="I16" s="60"/>
      <c r="J16" s="7"/>
      <c r="K16" s="7"/>
      <c r="L16" s="8"/>
      <c r="M16" s="7"/>
      <c r="N16" s="7"/>
      <c r="O16" s="7"/>
      <c r="P16" s="20"/>
      <c r="Q16" s="7"/>
      <c r="R16" s="7"/>
      <c r="S16" s="7"/>
      <c r="T16" s="7"/>
      <c r="U16" s="7"/>
      <c r="V16" s="7"/>
      <c r="W16" s="7"/>
      <c r="X16" s="7"/>
      <c r="Y16" s="7"/>
      <c r="Z16" s="7"/>
      <c r="AA16" s="7">
        <v>20.75</v>
      </c>
      <c r="AB16" s="7"/>
      <c r="AC16" s="7"/>
      <c r="AD16" s="7"/>
      <c r="AE16" s="7"/>
      <c r="AF16" s="7"/>
      <c r="AG16" s="7"/>
      <c r="AH16" s="7"/>
      <c r="AI16" s="7"/>
      <c r="AJ16" s="58"/>
    </row>
    <row r="17" spans="2:37" ht="204.75" x14ac:dyDescent="0.2">
      <c r="B17" s="13" t="s">
        <v>46</v>
      </c>
      <c r="C17" s="7" t="s">
        <v>47</v>
      </c>
      <c r="D17" s="21">
        <v>2210</v>
      </c>
      <c r="E17" s="7">
        <v>2000</v>
      </c>
      <c r="F17" s="7">
        <v>16700</v>
      </c>
      <c r="G17" s="7">
        <f t="shared" si="0"/>
        <v>18700</v>
      </c>
      <c r="H17" s="8"/>
      <c r="I17" s="7"/>
      <c r="J17" s="7"/>
      <c r="K17" s="7"/>
      <c r="L17" s="8"/>
      <c r="M17" s="8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58">
        <v>2500</v>
      </c>
    </row>
    <row r="18" spans="2:37" ht="36.75" customHeight="1" x14ac:dyDescent="0.2">
      <c r="B18" s="13" t="s">
        <v>244</v>
      </c>
      <c r="C18" s="7" t="s">
        <v>245</v>
      </c>
      <c r="D18" s="21">
        <v>2210</v>
      </c>
      <c r="E18" s="7"/>
      <c r="F18" s="59"/>
      <c r="G18" s="7">
        <f t="shared" si="0"/>
        <v>0</v>
      </c>
      <c r="H18" s="33"/>
      <c r="I18" s="7"/>
      <c r="J18" s="7"/>
      <c r="K18" s="7">
        <v>1000</v>
      </c>
      <c r="L18" s="8"/>
      <c r="M18" s="8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58"/>
    </row>
    <row r="19" spans="2:37" ht="63" x14ac:dyDescent="0.2">
      <c r="B19" s="13" t="s">
        <v>38</v>
      </c>
      <c r="C19" s="7" t="s">
        <v>39</v>
      </c>
      <c r="D19" s="21">
        <v>2210</v>
      </c>
      <c r="E19" s="7">
        <v>5000</v>
      </c>
      <c r="F19" s="7">
        <v>54000</v>
      </c>
      <c r="G19" s="7">
        <f t="shared" si="0"/>
        <v>59000</v>
      </c>
      <c r="H19" s="8"/>
      <c r="I19" s="7"/>
      <c r="J19" s="7"/>
      <c r="K19" s="7"/>
      <c r="L19" s="8"/>
      <c r="M19" s="8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58">
        <v>3500</v>
      </c>
    </row>
    <row r="20" spans="2:37" ht="33.75" customHeight="1" x14ac:dyDescent="0.2">
      <c r="B20" s="13" t="s">
        <v>246</v>
      </c>
      <c r="C20" s="59" t="s">
        <v>247</v>
      </c>
      <c r="D20" s="21">
        <v>2210</v>
      </c>
      <c r="E20" s="7"/>
      <c r="F20" s="7">
        <v>200</v>
      </c>
      <c r="G20" s="7">
        <f t="shared" si="0"/>
        <v>200</v>
      </c>
      <c r="H20" s="8"/>
      <c r="I20" s="7"/>
      <c r="J20" s="7"/>
      <c r="K20" s="7"/>
      <c r="L20" s="8"/>
      <c r="M20" s="8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58"/>
    </row>
    <row r="21" spans="2:37" ht="47.25" x14ac:dyDescent="0.2">
      <c r="B21" s="13" t="s">
        <v>65</v>
      </c>
      <c r="C21" s="59" t="s">
        <v>248</v>
      </c>
      <c r="D21" s="21">
        <v>2210</v>
      </c>
      <c r="E21" s="7"/>
      <c r="F21" s="59"/>
      <c r="G21" s="7">
        <f t="shared" si="0"/>
        <v>0</v>
      </c>
      <c r="H21" s="33"/>
      <c r="I21" s="60"/>
      <c r="J21" s="7"/>
      <c r="K21" s="7"/>
      <c r="L21" s="8"/>
      <c r="M21" s="7">
        <v>135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58"/>
    </row>
    <row r="22" spans="2:37" ht="78.75" x14ac:dyDescent="0.2">
      <c r="B22" s="13" t="s">
        <v>41</v>
      </c>
      <c r="C22" s="7" t="s">
        <v>249</v>
      </c>
      <c r="D22" s="21">
        <v>2210</v>
      </c>
      <c r="E22" s="7"/>
      <c r="F22" s="7">
        <v>10000</v>
      </c>
      <c r="G22" s="7">
        <f t="shared" si="0"/>
        <v>10000</v>
      </c>
      <c r="H22" s="8"/>
      <c r="I22" s="7"/>
      <c r="J22" s="7"/>
      <c r="K22" s="7"/>
      <c r="L22" s="8"/>
      <c r="M22" s="8"/>
      <c r="N22" s="7"/>
      <c r="O22" s="7"/>
      <c r="P22" s="7"/>
      <c r="Q22" s="7"/>
      <c r="R22" s="7"/>
      <c r="S22" s="7">
        <v>2341</v>
      </c>
      <c r="T22" s="7">
        <v>13920</v>
      </c>
      <c r="U22" s="7"/>
      <c r="V22" s="7"/>
      <c r="W22" s="7"/>
      <c r="X22" s="7"/>
      <c r="Y22" s="7"/>
      <c r="Z22" s="7">
        <v>8800</v>
      </c>
      <c r="AA22" s="7"/>
      <c r="AB22" s="7"/>
      <c r="AC22" s="7"/>
      <c r="AD22" s="7"/>
      <c r="AE22" s="7"/>
      <c r="AF22" s="7"/>
      <c r="AG22" s="7"/>
      <c r="AH22" s="7"/>
      <c r="AI22" s="7"/>
      <c r="AJ22" s="58">
        <v>3500</v>
      </c>
    </row>
    <row r="23" spans="2:37" ht="42.75" customHeight="1" x14ac:dyDescent="0.2">
      <c r="B23" s="13" t="s">
        <v>67</v>
      </c>
      <c r="C23" s="21" t="s">
        <v>68</v>
      </c>
      <c r="D23" s="21">
        <v>2210</v>
      </c>
      <c r="E23" s="7"/>
      <c r="F23" s="59"/>
      <c r="G23" s="7">
        <f t="shared" si="0"/>
        <v>0</v>
      </c>
      <c r="H23" s="3"/>
      <c r="I23" s="60"/>
      <c r="J23" s="7"/>
      <c r="K23" s="7"/>
      <c r="L23" s="8"/>
      <c r="M23" s="7">
        <v>140</v>
      </c>
      <c r="N23" s="7">
        <v>213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58"/>
    </row>
    <row r="24" spans="2:37" s="12" customFormat="1" ht="62.25" customHeight="1" x14ac:dyDescent="0.25">
      <c r="B24" s="13" t="s">
        <v>49</v>
      </c>
      <c r="C24" s="7" t="s">
        <v>50</v>
      </c>
      <c r="D24" s="21">
        <v>2210</v>
      </c>
      <c r="E24" s="14"/>
      <c r="F24" s="14"/>
      <c r="G24" s="14">
        <v>0</v>
      </c>
      <c r="H24" s="14"/>
      <c r="I24" s="14"/>
      <c r="J24" s="14">
        <f>1020*0.1</f>
        <v>102</v>
      </c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4"/>
      <c r="AH24" s="14"/>
      <c r="AI24" s="58"/>
      <c r="AJ24" s="58">
        <v>102</v>
      </c>
    </row>
    <row r="25" spans="2:37" ht="47.25" x14ac:dyDescent="0.2">
      <c r="B25" s="13" t="s">
        <v>52</v>
      </c>
      <c r="C25" s="7" t="s">
        <v>53</v>
      </c>
      <c r="D25" s="21">
        <v>2210</v>
      </c>
      <c r="E25" s="7"/>
      <c r="F25" s="59"/>
      <c r="G25" s="7">
        <f t="shared" si="0"/>
        <v>0</v>
      </c>
      <c r="H25" s="33"/>
      <c r="I25" s="60"/>
      <c r="J25" s="7"/>
      <c r="K25" s="7"/>
      <c r="L25" s="8"/>
      <c r="M25" s="20" t="s">
        <v>250</v>
      </c>
      <c r="N25" s="7"/>
      <c r="O25" s="7"/>
      <c r="P25" s="7"/>
      <c r="Q25" s="7"/>
      <c r="R25" s="7"/>
      <c r="S25" s="7">
        <v>255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58">
        <v>705</v>
      </c>
    </row>
    <row r="26" spans="2:37" ht="31.5" x14ac:dyDescent="0.2">
      <c r="B26" s="13" t="s">
        <v>77</v>
      </c>
      <c r="C26" s="7" t="s">
        <v>78</v>
      </c>
      <c r="D26" s="21">
        <v>2210</v>
      </c>
      <c r="E26" s="59"/>
      <c r="F26" s="59"/>
      <c r="G26" s="7">
        <f t="shared" si="0"/>
        <v>0</v>
      </c>
      <c r="H26" s="33"/>
      <c r="I26" s="60"/>
      <c r="J26" s="7"/>
      <c r="K26" s="7"/>
      <c r="L26" s="8"/>
      <c r="M26" s="7">
        <f>396.5+1040</f>
        <v>1436.5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58"/>
    </row>
    <row r="27" spans="2:37" ht="15.75" x14ac:dyDescent="0.2">
      <c r="B27" s="13" t="s">
        <v>254</v>
      </c>
      <c r="C27" s="7" t="s">
        <v>255</v>
      </c>
      <c r="D27" s="21">
        <v>2210</v>
      </c>
      <c r="E27" s="59"/>
      <c r="F27" s="59"/>
      <c r="G27" s="7">
        <f t="shared" si="0"/>
        <v>0</v>
      </c>
      <c r="H27" s="33"/>
      <c r="I27" s="60"/>
      <c r="J27" s="7"/>
      <c r="K27" s="7"/>
      <c r="L27" s="8"/>
      <c r="M27" s="7">
        <f>500+806.4</f>
        <v>1306.4000000000001</v>
      </c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58"/>
    </row>
    <row r="28" spans="2:37" ht="49.5" customHeight="1" x14ac:dyDescent="0.2">
      <c r="B28" s="13" t="s">
        <v>256</v>
      </c>
      <c r="C28" s="7" t="s">
        <v>257</v>
      </c>
      <c r="D28" s="21">
        <v>2210</v>
      </c>
      <c r="E28" s="7"/>
      <c r="F28" s="7">
        <v>4000</v>
      </c>
      <c r="G28" s="7">
        <f t="shared" si="0"/>
        <v>4000</v>
      </c>
      <c r="H28" s="8"/>
      <c r="I28" s="7"/>
      <c r="J28" s="7"/>
      <c r="K28" s="7"/>
      <c r="L28" s="8"/>
      <c r="M28" s="8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58"/>
      <c r="AK28" s="2"/>
    </row>
    <row r="29" spans="2:37" ht="49.5" customHeight="1" x14ac:dyDescent="0.2">
      <c r="B29" s="13" t="s">
        <v>258</v>
      </c>
      <c r="C29" s="7" t="s">
        <v>259</v>
      </c>
      <c r="D29" s="21">
        <v>2210</v>
      </c>
      <c r="E29" s="7"/>
      <c r="F29" s="7">
        <v>1400</v>
      </c>
      <c r="G29" s="7">
        <f t="shared" si="0"/>
        <v>1400</v>
      </c>
      <c r="H29" s="8"/>
      <c r="I29" s="8"/>
      <c r="J29" s="8"/>
      <c r="K29" s="8"/>
      <c r="L29" s="8"/>
      <c r="M29" s="8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>
        <v>75.05</v>
      </c>
      <c r="AB29" s="7"/>
      <c r="AC29" s="7"/>
      <c r="AD29" s="7"/>
      <c r="AE29" s="7"/>
      <c r="AF29" s="7"/>
      <c r="AG29" s="7"/>
      <c r="AH29" s="7"/>
      <c r="AI29" s="7"/>
      <c r="AJ29" s="58"/>
      <c r="AK29" s="2"/>
    </row>
    <row r="30" spans="2:37" ht="49.5" customHeight="1" x14ac:dyDescent="0.2">
      <c r="B30" s="13" t="s">
        <v>260</v>
      </c>
      <c r="C30" s="7" t="s">
        <v>261</v>
      </c>
      <c r="D30" s="21">
        <v>2210</v>
      </c>
      <c r="E30" s="7">
        <v>2000</v>
      </c>
      <c r="F30" s="7">
        <v>3000</v>
      </c>
      <c r="G30" s="7">
        <f t="shared" si="0"/>
        <v>5000</v>
      </c>
      <c r="H30" s="8"/>
      <c r="I30" s="7"/>
      <c r="J30" s="7"/>
      <c r="K30" s="7"/>
      <c r="L30" s="8"/>
      <c r="M30" s="8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>
        <v>293</v>
      </c>
      <c r="AB30" s="7"/>
      <c r="AC30" s="7"/>
      <c r="AD30" s="7"/>
      <c r="AE30" s="7"/>
      <c r="AF30" s="7"/>
      <c r="AG30" s="7"/>
      <c r="AH30" s="7"/>
      <c r="AI30" s="7"/>
      <c r="AJ30" s="58"/>
      <c r="AK30" s="61"/>
    </row>
    <row r="31" spans="2:37" ht="49.5" customHeight="1" x14ac:dyDescent="0.2">
      <c r="B31" s="13" t="s">
        <v>262</v>
      </c>
      <c r="C31" s="14" t="s">
        <v>263</v>
      </c>
      <c r="D31" s="15">
        <v>2210</v>
      </c>
      <c r="E31" s="7"/>
      <c r="F31" s="7"/>
      <c r="G31" s="7"/>
      <c r="H31" s="8"/>
      <c r="I31" s="7"/>
      <c r="J31" s="7"/>
      <c r="K31" s="7"/>
      <c r="L31" s="8"/>
      <c r="M31" s="8"/>
      <c r="N31" s="7"/>
      <c r="O31" s="7"/>
      <c r="P31" s="7"/>
      <c r="Q31" s="7"/>
      <c r="R31" s="7"/>
      <c r="S31" s="7"/>
      <c r="T31" s="7">
        <v>46.8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58"/>
      <c r="AK31" s="61"/>
    </row>
    <row r="32" spans="2:37" ht="49.5" customHeight="1" x14ac:dyDescent="0.2">
      <c r="B32" s="13" t="s">
        <v>264</v>
      </c>
      <c r="C32" s="7" t="s">
        <v>265</v>
      </c>
      <c r="D32" s="21">
        <v>2210</v>
      </c>
      <c r="E32" s="7"/>
      <c r="F32" s="7">
        <v>500</v>
      </c>
      <c r="G32" s="7">
        <f t="shared" si="0"/>
        <v>500</v>
      </c>
      <c r="H32" s="8"/>
      <c r="I32" s="7"/>
      <c r="J32" s="7"/>
      <c r="K32" s="7"/>
      <c r="L32" s="8"/>
      <c r="M32" s="8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58"/>
    </row>
    <row r="33" spans="2:36" ht="49.5" customHeight="1" x14ac:dyDescent="0.2">
      <c r="B33" s="19" t="s">
        <v>266</v>
      </c>
      <c r="C33" s="15" t="s">
        <v>267</v>
      </c>
      <c r="D33" s="21">
        <v>2210</v>
      </c>
      <c r="E33" s="7"/>
      <c r="F33" s="7"/>
      <c r="G33" s="7"/>
      <c r="H33" s="8"/>
      <c r="I33" s="7"/>
      <c r="J33" s="7"/>
      <c r="K33" s="7"/>
      <c r="L33" s="8"/>
      <c r="M33" s="8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62">
        <v>82</v>
      </c>
      <c r="AA33" s="7"/>
      <c r="AB33" s="7">
        <f>172</f>
        <v>172</v>
      </c>
      <c r="AC33" s="7"/>
      <c r="AD33" s="7"/>
      <c r="AE33" s="7"/>
      <c r="AF33" s="7"/>
      <c r="AG33" s="7"/>
      <c r="AH33" s="7"/>
      <c r="AI33" s="7"/>
      <c r="AJ33" s="58"/>
    </row>
    <row r="34" spans="2:36" ht="49.5" customHeight="1" x14ac:dyDescent="0.2">
      <c r="B34" s="13" t="s">
        <v>537</v>
      </c>
      <c r="C34" s="7" t="s">
        <v>82</v>
      </c>
      <c r="D34" s="21">
        <v>2210</v>
      </c>
      <c r="E34" s="7"/>
      <c r="F34" s="59" t="s">
        <v>269</v>
      </c>
      <c r="G34" s="7">
        <v>830</v>
      </c>
      <c r="H34" s="33"/>
      <c r="I34" s="8"/>
      <c r="J34" s="8"/>
      <c r="K34" s="7">
        <v>880</v>
      </c>
      <c r="L34" s="8"/>
      <c r="M34" s="8"/>
      <c r="N34" s="7"/>
      <c r="O34" s="7"/>
      <c r="P34" s="7"/>
      <c r="Q34" s="7"/>
      <c r="R34" s="7"/>
      <c r="S34" s="7"/>
      <c r="T34" s="7"/>
      <c r="U34" s="7">
        <v>1169</v>
      </c>
      <c r="V34" s="7"/>
      <c r="W34" s="7">
        <v>4617</v>
      </c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58"/>
    </row>
    <row r="35" spans="2:36" ht="49.5" customHeight="1" x14ac:dyDescent="0.2">
      <c r="B35" s="13" t="s">
        <v>91</v>
      </c>
      <c r="C35" s="7" t="s">
        <v>92</v>
      </c>
      <c r="D35" s="21">
        <v>2210</v>
      </c>
      <c r="E35" s="7"/>
      <c r="F35" s="59"/>
      <c r="G35" s="7"/>
      <c r="H35" s="33"/>
      <c r="I35" s="8"/>
      <c r="J35" s="8"/>
      <c r="K35" s="8"/>
      <c r="L35" s="8"/>
      <c r="M35" s="8"/>
      <c r="N35" s="7"/>
      <c r="O35" s="7">
        <v>131.04</v>
      </c>
      <c r="P35" s="7"/>
      <c r="Q35" s="7"/>
      <c r="R35" s="7"/>
      <c r="S35" s="63">
        <v>183.84</v>
      </c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58"/>
    </row>
    <row r="36" spans="2:36" ht="31.5" x14ac:dyDescent="0.2">
      <c r="B36" s="13" t="s">
        <v>538</v>
      </c>
      <c r="C36" s="7" t="s">
        <v>96</v>
      </c>
      <c r="D36" s="21">
        <v>2210</v>
      </c>
      <c r="E36" s="7"/>
      <c r="F36" s="8"/>
      <c r="G36" s="8"/>
      <c r="H36" s="33"/>
      <c r="I36" s="60">
        <v>1517</v>
      </c>
      <c r="J36" s="7"/>
      <c r="K36" s="7"/>
      <c r="L36" s="8"/>
      <c r="M36" s="8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58"/>
    </row>
    <row r="37" spans="2:36" ht="27" customHeight="1" x14ac:dyDescent="0.2">
      <c r="B37" s="13" t="s">
        <v>271</v>
      </c>
      <c r="C37" s="15" t="s">
        <v>272</v>
      </c>
      <c r="D37" s="15">
        <v>2210</v>
      </c>
      <c r="E37" s="7"/>
      <c r="F37" s="8"/>
      <c r="G37" s="8"/>
      <c r="H37" s="33"/>
      <c r="I37" s="60"/>
      <c r="J37" s="7"/>
      <c r="K37" s="7"/>
      <c r="L37" s="8"/>
      <c r="M37" s="8"/>
      <c r="N37" s="7"/>
      <c r="O37" s="7"/>
      <c r="P37" s="7"/>
      <c r="Q37" s="7"/>
      <c r="R37" s="7"/>
      <c r="S37" s="7"/>
      <c r="T37" s="14">
        <v>7960</v>
      </c>
      <c r="U37" s="20"/>
      <c r="V37" s="20"/>
      <c r="W37" s="20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58"/>
    </row>
    <row r="38" spans="2:36" ht="70.150000000000006" customHeight="1" x14ac:dyDescent="0.2">
      <c r="B38" s="13" t="s">
        <v>273</v>
      </c>
      <c r="C38" s="7" t="s">
        <v>274</v>
      </c>
      <c r="D38" s="15">
        <v>2210</v>
      </c>
      <c r="E38" s="7"/>
      <c r="F38" s="8"/>
      <c r="G38" s="8"/>
      <c r="H38" s="33"/>
      <c r="I38" s="60"/>
      <c r="J38" s="7"/>
      <c r="K38" s="7"/>
      <c r="L38" s="8"/>
      <c r="M38" s="8"/>
      <c r="N38" s="7"/>
      <c r="O38" s="7"/>
      <c r="P38" s="7"/>
      <c r="Q38" s="7"/>
      <c r="R38" s="7"/>
      <c r="S38" s="7"/>
      <c r="T38" s="14"/>
      <c r="U38" s="20"/>
      <c r="V38" s="20"/>
      <c r="W38" s="20"/>
      <c r="X38" s="7"/>
      <c r="Y38" s="7"/>
      <c r="Z38" s="7"/>
      <c r="AA38" s="7">
        <v>29.3</v>
      </c>
      <c r="AB38" s="7">
        <f>356+380</f>
        <v>736</v>
      </c>
      <c r="AC38" s="7"/>
      <c r="AD38" s="7"/>
      <c r="AE38" s="7"/>
      <c r="AF38" s="7"/>
      <c r="AG38" s="7"/>
      <c r="AH38" s="7"/>
      <c r="AI38" s="7"/>
      <c r="AJ38" s="58"/>
    </row>
    <row r="39" spans="2:36" ht="47.25" x14ac:dyDescent="0.2">
      <c r="B39" s="13" t="s">
        <v>275</v>
      </c>
      <c r="C39" s="7" t="s">
        <v>276</v>
      </c>
      <c r="D39" s="21">
        <v>2210</v>
      </c>
      <c r="E39" s="7"/>
      <c r="F39" s="8"/>
      <c r="G39" s="8"/>
      <c r="H39" s="33"/>
      <c r="I39" s="60"/>
      <c r="J39" s="7"/>
      <c r="K39" s="7"/>
      <c r="L39" s="8"/>
      <c r="M39" s="8"/>
      <c r="N39" s="7"/>
      <c r="O39" s="7">
        <v>100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62">
        <v>200</v>
      </c>
      <c r="AA39" s="7">
        <v>344.53</v>
      </c>
      <c r="AB39" s="7"/>
      <c r="AC39" s="7"/>
      <c r="AD39" s="7"/>
      <c r="AE39" s="7"/>
      <c r="AF39" s="7"/>
      <c r="AG39" s="7"/>
      <c r="AH39" s="7"/>
      <c r="AI39" s="7"/>
      <c r="AJ39" s="58"/>
    </row>
    <row r="40" spans="2:36" ht="58.5" customHeight="1" x14ac:dyDescent="0.2">
      <c r="B40" s="13" t="s">
        <v>277</v>
      </c>
      <c r="C40" s="15" t="s">
        <v>278</v>
      </c>
      <c r="D40" s="21">
        <v>2210</v>
      </c>
      <c r="E40" s="7"/>
      <c r="F40" s="8"/>
      <c r="G40" s="8"/>
      <c r="H40" s="33"/>
      <c r="I40" s="60"/>
      <c r="J40" s="7"/>
      <c r="K40" s="7"/>
      <c r="L40" s="8"/>
      <c r="M40" s="8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62"/>
      <c r="AA40" s="7"/>
      <c r="AB40" s="7"/>
      <c r="AC40" s="7">
        <v>300</v>
      </c>
      <c r="AD40" s="7"/>
      <c r="AE40" s="7"/>
      <c r="AF40" s="7"/>
      <c r="AG40" s="7"/>
      <c r="AH40" s="7"/>
      <c r="AI40" s="7"/>
      <c r="AJ40" s="58"/>
    </row>
    <row r="41" spans="2:36" ht="78" customHeight="1" x14ac:dyDescent="0.2">
      <c r="B41" s="13" t="s">
        <v>279</v>
      </c>
      <c r="C41" s="15" t="s">
        <v>280</v>
      </c>
      <c r="D41" s="15">
        <v>2210</v>
      </c>
      <c r="E41" s="7"/>
      <c r="F41" s="8"/>
      <c r="G41" s="8"/>
      <c r="H41" s="33"/>
      <c r="I41" s="60"/>
      <c r="J41" s="7"/>
      <c r="K41" s="7"/>
      <c r="L41" s="8"/>
      <c r="M41" s="8"/>
      <c r="N41" s="7"/>
      <c r="O41" s="7"/>
      <c r="P41" s="7"/>
      <c r="Q41" s="7"/>
      <c r="R41" s="7"/>
      <c r="S41" s="7"/>
      <c r="T41" s="7"/>
      <c r="U41" s="7">
        <v>1320.3</v>
      </c>
      <c r="V41" s="7"/>
      <c r="W41" s="7"/>
      <c r="X41" s="7"/>
      <c r="Y41" s="7">
        <v>1000</v>
      </c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58"/>
    </row>
    <row r="42" spans="2:36" ht="78" customHeight="1" x14ac:dyDescent="0.2">
      <c r="B42" s="13" t="s">
        <v>281</v>
      </c>
      <c r="C42" s="15" t="s">
        <v>282</v>
      </c>
      <c r="D42" s="15">
        <v>2210</v>
      </c>
      <c r="E42" s="7"/>
      <c r="F42" s="59"/>
      <c r="G42" s="7"/>
      <c r="H42" s="33"/>
      <c r="I42" s="60"/>
      <c r="J42" s="7"/>
      <c r="K42" s="7"/>
      <c r="L42" s="60"/>
      <c r="M42" s="8"/>
      <c r="N42" s="7"/>
      <c r="O42" s="7"/>
      <c r="P42" s="7"/>
      <c r="Q42" s="7"/>
      <c r="R42" s="7"/>
      <c r="S42" s="20" t="s">
        <v>283</v>
      </c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58"/>
    </row>
    <row r="43" spans="2:36" ht="78" customHeight="1" x14ac:dyDescent="0.2">
      <c r="B43" s="13" t="s">
        <v>284</v>
      </c>
      <c r="C43" s="15" t="s">
        <v>285</v>
      </c>
      <c r="D43" s="15">
        <v>2210</v>
      </c>
      <c r="E43" s="7"/>
      <c r="F43" s="59"/>
      <c r="G43" s="7"/>
      <c r="H43" s="33"/>
      <c r="I43" s="60"/>
      <c r="J43" s="7"/>
      <c r="K43" s="7"/>
      <c r="L43" s="60"/>
      <c r="M43" s="8"/>
      <c r="N43" s="7"/>
      <c r="O43" s="7"/>
      <c r="P43" s="7"/>
      <c r="Q43" s="7"/>
      <c r="R43" s="7"/>
      <c r="S43" s="20"/>
      <c r="T43" s="7"/>
      <c r="U43" s="7">
        <v>197.6</v>
      </c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58"/>
    </row>
    <row r="44" spans="2:36" ht="110.25" x14ac:dyDescent="0.2">
      <c r="B44" s="13" t="s">
        <v>286</v>
      </c>
      <c r="C44" s="7" t="s">
        <v>287</v>
      </c>
      <c r="D44" s="21">
        <v>2210</v>
      </c>
      <c r="E44" s="7"/>
      <c r="F44" s="59"/>
      <c r="G44" s="7"/>
      <c r="H44" s="33"/>
      <c r="I44" s="60"/>
      <c r="J44" s="7"/>
      <c r="K44" s="7"/>
      <c r="L44" s="60">
        <v>7500</v>
      </c>
      <c r="M44" s="8"/>
      <c r="N44" s="7"/>
      <c r="O44" s="7"/>
      <c r="P44" s="7"/>
      <c r="Q44" s="7"/>
      <c r="R44" s="7"/>
      <c r="S44" s="7">
        <v>28500</v>
      </c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58"/>
    </row>
    <row r="45" spans="2:36" ht="15.75" x14ac:dyDescent="0.2">
      <c r="B45" s="13" t="s">
        <v>288</v>
      </c>
      <c r="C45" s="7" t="s">
        <v>56</v>
      </c>
      <c r="D45" s="21">
        <v>2210</v>
      </c>
      <c r="E45" s="7"/>
      <c r="F45" s="59"/>
      <c r="G45" s="7"/>
      <c r="H45" s="33"/>
      <c r="I45" s="60"/>
      <c r="J45" s="7">
        <v>364</v>
      </c>
      <c r="K45" s="7"/>
      <c r="L45" s="8"/>
      <c r="M45" s="8"/>
      <c r="N45" s="7"/>
      <c r="O45" s="7">
        <v>116</v>
      </c>
      <c r="P45" s="7"/>
      <c r="Q45" s="7"/>
      <c r="R45" s="7"/>
      <c r="S45" s="7"/>
      <c r="T45" s="7"/>
      <c r="U45" s="7">
        <f>262.26+605</f>
        <v>867.26</v>
      </c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58">
        <v>671</v>
      </c>
    </row>
    <row r="46" spans="2:36" ht="15.75" x14ac:dyDescent="0.2">
      <c r="B46" s="13" t="s">
        <v>97</v>
      </c>
      <c r="C46" s="7" t="s">
        <v>98</v>
      </c>
      <c r="D46" s="21">
        <v>2210</v>
      </c>
      <c r="E46" s="7"/>
      <c r="F46" s="59"/>
      <c r="G46" s="7"/>
      <c r="H46" s="33"/>
      <c r="I46" s="60"/>
      <c r="J46" s="7">
        <v>636</v>
      </c>
      <c r="K46" s="7"/>
      <c r="L46" s="8"/>
      <c r="M46" s="8"/>
      <c r="N46" s="7"/>
      <c r="O46" s="7">
        <v>183.36</v>
      </c>
      <c r="P46" s="7"/>
      <c r="Q46" s="7"/>
      <c r="R46" s="7"/>
      <c r="S46" s="7"/>
      <c r="T46" s="7"/>
      <c r="U46" s="7"/>
      <c r="V46" s="7"/>
      <c r="W46" s="7">
        <v>1260</v>
      </c>
      <c r="X46" s="7"/>
      <c r="Y46" s="7"/>
      <c r="Z46" s="62">
        <v>420</v>
      </c>
      <c r="AA46" s="7"/>
      <c r="AB46" s="7"/>
      <c r="AC46" s="7"/>
      <c r="AD46" s="7"/>
      <c r="AE46" s="7"/>
      <c r="AF46" s="7"/>
      <c r="AG46" s="7"/>
      <c r="AH46" s="7"/>
      <c r="AI46" s="7"/>
      <c r="AJ46" s="58"/>
    </row>
    <row r="47" spans="2:36" ht="33" x14ac:dyDescent="0.2">
      <c r="B47" s="13" t="s">
        <v>289</v>
      </c>
      <c r="C47" s="15" t="s">
        <v>290</v>
      </c>
      <c r="D47" s="15">
        <v>2210</v>
      </c>
      <c r="E47" s="7"/>
      <c r="F47" s="59"/>
      <c r="G47" s="7"/>
      <c r="H47" s="33"/>
      <c r="I47" s="60"/>
      <c r="J47" s="7"/>
      <c r="K47" s="7"/>
      <c r="L47" s="8"/>
      <c r="M47" s="8"/>
      <c r="N47" s="7"/>
      <c r="O47" s="7"/>
      <c r="P47" s="7"/>
      <c r="Q47" s="7"/>
      <c r="R47" s="7"/>
      <c r="S47" s="20" t="s">
        <v>291</v>
      </c>
      <c r="T47" s="7"/>
      <c r="U47" s="7"/>
      <c r="V47" s="7"/>
      <c r="W47" s="7"/>
      <c r="X47" s="7"/>
      <c r="Y47" s="7"/>
      <c r="Z47" s="7"/>
      <c r="AA47" s="7">
        <v>134</v>
      </c>
      <c r="AB47" s="7"/>
      <c r="AC47" s="7"/>
      <c r="AD47" s="7"/>
      <c r="AE47" s="7"/>
      <c r="AF47" s="7"/>
      <c r="AG47" s="7"/>
      <c r="AH47" s="7"/>
      <c r="AI47" s="7"/>
      <c r="AJ47" s="58"/>
    </row>
    <row r="48" spans="2:36" ht="33" x14ac:dyDescent="0.2">
      <c r="B48" s="13" t="s">
        <v>292</v>
      </c>
      <c r="C48" s="15" t="s">
        <v>293</v>
      </c>
      <c r="D48" s="15">
        <v>2210</v>
      </c>
      <c r="E48" s="7"/>
      <c r="F48" s="59"/>
      <c r="G48" s="7"/>
      <c r="H48" s="33"/>
      <c r="I48" s="60"/>
      <c r="J48" s="7"/>
      <c r="K48" s="7"/>
      <c r="L48" s="8"/>
      <c r="M48" s="8"/>
      <c r="N48" s="7"/>
      <c r="O48" s="7"/>
      <c r="P48" s="7"/>
      <c r="Q48" s="7"/>
      <c r="R48" s="7"/>
      <c r="S48" s="20" t="s">
        <v>294</v>
      </c>
      <c r="T48" s="7"/>
      <c r="U48" s="7"/>
      <c r="V48" s="7"/>
      <c r="W48" s="7"/>
      <c r="X48" s="7"/>
      <c r="Y48" s="7"/>
      <c r="Z48" s="7"/>
      <c r="AA48" s="7">
        <v>108.5</v>
      </c>
      <c r="AB48" s="7"/>
      <c r="AC48" s="7"/>
      <c r="AD48" s="7"/>
      <c r="AE48" s="7"/>
      <c r="AF48" s="7"/>
      <c r="AG48" s="7"/>
      <c r="AH48" s="7"/>
      <c r="AI48" s="7"/>
      <c r="AJ48" s="58"/>
    </row>
    <row r="49" spans="2:36" ht="33" x14ac:dyDescent="0.2">
      <c r="B49" s="13" t="s">
        <v>295</v>
      </c>
      <c r="C49" s="15" t="s">
        <v>296</v>
      </c>
      <c r="D49" s="15">
        <v>2210</v>
      </c>
      <c r="E49" s="7"/>
      <c r="F49" s="59"/>
      <c r="G49" s="7"/>
      <c r="H49" s="33"/>
      <c r="I49" s="60"/>
      <c r="J49" s="7"/>
      <c r="K49" s="7"/>
      <c r="L49" s="8"/>
      <c r="M49" s="8"/>
      <c r="N49" s="7"/>
      <c r="O49" s="7"/>
      <c r="P49" s="7"/>
      <c r="Q49" s="7"/>
      <c r="R49" s="7"/>
      <c r="S49" s="20"/>
      <c r="T49" s="7"/>
      <c r="U49" s="7">
        <v>56</v>
      </c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58"/>
    </row>
    <row r="50" spans="2:36" ht="33" x14ac:dyDescent="0.2">
      <c r="B50" s="13" t="s">
        <v>299</v>
      </c>
      <c r="C50" s="15" t="s">
        <v>300</v>
      </c>
      <c r="D50" s="15">
        <v>2210</v>
      </c>
      <c r="E50" s="59"/>
      <c r="F50" s="59"/>
      <c r="G50" s="7"/>
      <c r="H50" s="33"/>
      <c r="I50" s="60"/>
      <c r="J50" s="7"/>
      <c r="K50" s="7"/>
      <c r="L50" s="7"/>
      <c r="M50" s="8"/>
      <c r="N50" s="7"/>
      <c r="O50" s="7"/>
      <c r="P50" s="7"/>
      <c r="Q50" s="7"/>
      <c r="R50" s="7"/>
      <c r="S50" s="20" t="s">
        <v>301</v>
      </c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58"/>
    </row>
    <row r="51" spans="2:36" ht="33" x14ac:dyDescent="0.2">
      <c r="B51" s="13" t="s">
        <v>302</v>
      </c>
      <c r="C51" s="14" t="s">
        <v>303</v>
      </c>
      <c r="D51" s="15">
        <v>2210</v>
      </c>
      <c r="E51" s="59"/>
      <c r="F51" s="59"/>
      <c r="G51" s="7"/>
      <c r="H51" s="33"/>
      <c r="I51" s="60"/>
      <c r="J51" s="7"/>
      <c r="K51" s="7"/>
      <c r="L51" s="7"/>
      <c r="M51" s="8"/>
      <c r="N51" s="7"/>
      <c r="O51" s="7"/>
      <c r="P51" s="7"/>
      <c r="Q51" s="7"/>
      <c r="R51" s="7"/>
      <c r="S51" s="20"/>
      <c r="T51" s="7"/>
      <c r="U51" s="7">
        <v>39.14</v>
      </c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58"/>
    </row>
    <row r="52" spans="2:36" ht="33" x14ac:dyDescent="0.2">
      <c r="B52" s="13" t="s">
        <v>304</v>
      </c>
      <c r="C52" s="15" t="s">
        <v>305</v>
      </c>
      <c r="D52" s="15">
        <v>2210</v>
      </c>
      <c r="E52" s="59"/>
      <c r="F52" s="59"/>
      <c r="G52" s="7"/>
      <c r="H52" s="33"/>
      <c r="I52" s="60"/>
      <c r="J52" s="7"/>
      <c r="K52" s="7"/>
      <c r="L52" s="7"/>
      <c r="M52" s="8"/>
      <c r="N52" s="7"/>
      <c r="O52" s="7"/>
      <c r="P52" s="7"/>
      <c r="Q52" s="7"/>
      <c r="R52" s="7"/>
      <c r="S52" s="20" t="s">
        <v>306</v>
      </c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58"/>
    </row>
    <row r="53" spans="2:36" ht="63" x14ac:dyDescent="0.2">
      <c r="B53" s="13" t="s">
        <v>307</v>
      </c>
      <c r="C53" s="15" t="s">
        <v>308</v>
      </c>
      <c r="D53" s="15">
        <v>2210</v>
      </c>
      <c r="E53" s="59"/>
      <c r="F53" s="59"/>
      <c r="G53" s="7"/>
      <c r="H53" s="33"/>
      <c r="I53" s="60"/>
      <c r="J53" s="7"/>
      <c r="K53" s="7"/>
      <c r="L53" s="7"/>
      <c r="M53" s="8"/>
      <c r="N53" s="7"/>
      <c r="O53" s="7"/>
      <c r="P53" s="7"/>
      <c r="Q53" s="7"/>
      <c r="R53" s="7"/>
      <c r="S53" s="20" t="s">
        <v>309</v>
      </c>
      <c r="T53" s="7"/>
      <c r="U53" s="7"/>
      <c r="V53" s="7"/>
      <c r="W53" s="7"/>
      <c r="X53" s="7"/>
      <c r="Y53" s="7"/>
      <c r="Z53" s="7"/>
      <c r="AA53" s="7">
        <v>95</v>
      </c>
      <c r="AB53" s="7"/>
      <c r="AC53" s="7"/>
      <c r="AD53" s="7"/>
      <c r="AE53" s="7"/>
      <c r="AF53" s="7"/>
      <c r="AG53" s="7"/>
      <c r="AH53" s="7"/>
      <c r="AI53" s="7"/>
      <c r="AJ53" s="58"/>
    </row>
    <row r="54" spans="2:36" ht="33" x14ac:dyDescent="0.2">
      <c r="B54" s="13" t="s">
        <v>310</v>
      </c>
      <c r="C54" s="15" t="s">
        <v>311</v>
      </c>
      <c r="D54" s="15">
        <v>2210</v>
      </c>
      <c r="E54" s="59"/>
      <c r="F54" s="59"/>
      <c r="G54" s="7"/>
      <c r="H54" s="33"/>
      <c r="I54" s="60"/>
      <c r="J54" s="7"/>
      <c r="K54" s="7"/>
      <c r="L54" s="7"/>
      <c r="M54" s="8"/>
      <c r="N54" s="7"/>
      <c r="O54" s="7"/>
      <c r="P54" s="7"/>
      <c r="Q54" s="7"/>
      <c r="R54" s="7"/>
      <c r="S54" s="20" t="s">
        <v>312</v>
      </c>
      <c r="T54" s="7"/>
      <c r="U54" s="7"/>
      <c r="V54" s="7"/>
      <c r="W54" s="7"/>
      <c r="X54" s="7"/>
      <c r="Y54" s="7"/>
      <c r="Z54" s="7"/>
      <c r="AA54" s="7">
        <v>48.18</v>
      </c>
      <c r="AB54" s="7"/>
      <c r="AC54" s="7"/>
      <c r="AD54" s="7"/>
      <c r="AE54" s="7"/>
      <c r="AF54" s="7"/>
      <c r="AG54" s="7"/>
      <c r="AH54" s="7"/>
      <c r="AI54" s="7"/>
      <c r="AJ54" s="58"/>
    </row>
    <row r="55" spans="2:36" ht="33" x14ac:dyDescent="0.2">
      <c r="B55" s="13" t="s">
        <v>313</v>
      </c>
      <c r="C55" s="15" t="s">
        <v>314</v>
      </c>
      <c r="D55" s="15">
        <v>2210</v>
      </c>
      <c r="E55" s="59"/>
      <c r="F55" s="59"/>
      <c r="G55" s="7"/>
      <c r="H55" s="33"/>
      <c r="I55" s="60"/>
      <c r="J55" s="7"/>
      <c r="K55" s="7"/>
      <c r="L55" s="7"/>
      <c r="M55" s="8"/>
      <c r="N55" s="7"/>
      <c r="O55" s="7"/>
      <c r="P55" s="7"/>
      <c r="Q55" s="7"/>
      <c r="R55" s="7"/>
      <c r="S55" s="20" t="s">
        <v>237</v>
      </c>
      <c r="T55" s="7"/>
      <c r="U55" s="7">
        <v>71.83</v>
      </c>
      <c r="V55" s="7"/>
      <c r="W55" s="7"/>
      <c r="X55" s="7"/>
      <c r="Y55" s="7"/>
      <c r="Z55" s="7"/>
      <c r="AA55" s="7">
        <v>114.15</v>
      </c>
      <c r="AB55" s="7"/>
      <c r="AC55" s="7"/>
      <c r="AD55" s="7"/>
      <c r="AE55" s="7"/>
      <c r="AF55" s="7"/>
      <c r="AG55" s="7"/>
      <c r="AH55" s="7"/>
      <c r="AI55" s="7"/>
      <c r="AJ55" s="58"/>
    </row>
    <row r="56" spans="2:36" ht="63" x14ac:dyDescent="0.2">
      <c r="B56" s="13" t="s">
        <v>315</v>
      </c>
      <c r="C56" s="14" t="s">
        <v>316</v>
      </c>
      <c r="D56" s="15">
        <v>2210</v>
      </c>
      <c r="E56" s="59"/>
      <c r="F56" s="59"/>
      <c r="G56" s="7"/>
      <c r="H56" s="33"/>
      <c r="I56" s="60"/>
      <c r="J56" s="7"/>
      <c r="K56" s="7"/>
      <c r="L56" s="7"/>
      <c r="M56" s="8"/>
      <c r="N56" s="7"/>
      <c r="O56" s="7"/>
      <c r="P56" s="7"/>
      <c r="Q56" s="7"/>
      <c r="R56" s="7"/>
      <c r="S56" s="20"/>
      <c r="T56" s="7"/>
      <c r="U56" s="7">
        <v>528.6</v>
      </c>
      <c r="V56" s="7"/>
      <c r="W56" s="7"/>
      <c r="X56" s="7"/>
      <c r="Y56" s="7"/>
      <c r="Z56" s="7"/>
      <c r="AA56" s="7">
        <v>29.24</v>
      </c>
      <c r="AB56" s="7"/>
      <c r="AC56" s="7"/>
      <c r="AD56" s="7"/>
      <c r="AE56" s="7"/>
      <c r="AF56" s="7"/>
      <c r="AG56" s="7"/>
      <c r="AH56" s="7"/>
      <c r="AI56" s="7"/>
      <c r="AJ56" s="58"/>
    </row>
    <row r="57" spans="2:36" ht="78" customHeight="1" x14ac:dyDescent="0.2">
      <c r="B57" s="13" t="s">
        <v>317</v>
      </c>
      <c r="C57" s="15" t="s">
        <v>318</v>
      </c>
      <c r="D57" s="15">
        <v>2210</v>
      </c>
      <c r="E57" s="59"/>
      <c r="F57" s="59"/>
      <c r="G57" s="7"/>
      <c r="H57" s="33"/>
      <c r="I57" s="60"/>
      <c r="J57" s="7"/>
      <c r="K57" s="7"/>
      <c r="L57" s="7"/>
      <c r="M57" s="8"/>
      <c r="N57" s="7"/>
      <c r="O57" s="7"/>
      <c r="P57" s="7"/>
      <c r="Q57" s="7"/>
      <c r="R57" s="7"/>
      <c r="S57" s="20" t="s">
        <v>319</v>
      </c>
      <c r="T57" s="7"/>
      <c r="U57" s="7"/>
      <c r="V57" s="7"/>
      <c r="W57" s="7"/>
      <c r="X57" s="7"/>
      <c r="Y57" s="7"/>
      <c r="Z57" s="7"/>
      <c r="AA57" s="7">
        <f>145.24+26</f>
        <v>171.24</v>
      </c>
      <c r="AB57" s="7"/>
      <c r="AC57" s="7"/>
      <c r="AD57" s="7"/>
      <c r="AE57" s="7"/>
      <c r="AF57" s="7"/>
      <c r="AG57" s="7"/>
      <c r="AH57" s="7"/>
      <c r="AI57" s="7"/>
      <c r="AJ57" s="58"/>
    </row>
    <row r="58" spans="2:36" ht="78" customHeight="1" x14ac:dyDescent="0.2">
      <c r="B58" s="13" t="s">
        <v>320</v>
      </c>
      <c r="C58" s="15" t="s">
        <v>321</v>
      </c>
      <c r="D58" s="15">
        <v>2210</v>
      </c>
      <c r="E58" s="59"/>
      <c r="F58" s="59"/>
      <c r="G58" s="7"/>
      <c r="H58" s="33"/>
      <c r="I58" s="60"/>
      <c r="J58" s="7"/>
      <c r="K58" s="7"/>
      <c r="L58" s="7"/>
      <c r="M58" s="8"/>
      <c r="N58" s="7"/>
      <c r="O58" s="7"/>
      <c r="P58" s="7"/>
      <c r="Q58" s="7"/>
      <c r="R58" s="7"/>
      <c r="S58" s="20" t="s">
        <v>322</v>
      </c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58"/>
    </row>
    <row r="59" spans="2:36" ht="33" x14ac:dyDescent="0.2">
      <c r="B59" s="13" t="s">
        <v>310</v>
      </c>
      <c r="C59" s="15" t="s">
        <v>323</v>
      </c>
      <c r="D59" s="15">
        <v>2210</v>
      </c>
      <c r="E59" s="59"/>
      <c r="F59" s="59"/>
      <c r="G59" s="7"/>
      <c r="H59" s="33"/>
      <c r="I59" s="60"/>
      <c r="J59" s="7"/>
      <c r="K59" s="7"/>
      <c r="L59" s="7"/>
      <c r="M59" s="8"/>
      <c r="N59" s="7"/>
      <c r="O59" s="7"/>
      <c r="P59" s="7"/>
      <c r="Q59" s="7"/>
      <c r="R59" s="7"/>
      <c r="S59" s="20" t="s">
        <v>324</v>
      </c>
      <c r="T59" s="63">
        <v>51.84</v>
      </c>
      <c r="U59" s="7"/>
      <c r="V59" s="7"/>
      <c r="W59" s="7"/>
      <c r="X59" s="7"/>
      <c r="Y59" s="7"/>
      <c r="Z59" s="7"/>
      <c r="AA59" s="7">
        <v>20.5</v>
      </c>
      <c r="AB59" s="7"/>
      <c r="AC59" s="7"/>
      <c r="AD59" s="7"/>
      <c r="AE59" s="7"/>
      <c r="AF59" s="7"/>
      <c r="AG59" s="7"/>
      <c r="AH59" s="7"/>
      <c r="AI59" s="7"/>
      <c r="AJ59" s="58"/>
    </row>
    <row r="60" spans="2:36" ht="49.5" x14ac:dyDescent="0.2">
      <c r="B60" s="13" t="s">
        <v>325</v>
      </c>
      <c r="C60" s="15" t="s">
        <v>326</v>
      </c>
      <c r="D60" s="15">
        <v>2210</v>
      </c>
      <c r="E60" s="59"/>
      <c r="F60" s="59"/>
      <c r="G60" s="7"/>
      <c r="H60" s="33"/>
      <c r="I60" s="60"/>
      <c r="J60" s="7"/>
      <c r="K60" s="7"/>
      <c r="L60" s="7"/>
      <c r="M60" s="8"/>
      <c r="N60" s="7"/>
      <c r="O60" s="7"/>
      <c r="P60" s="7"/>
      <c r="Q60" s="7"/>
      <c r="R60" s="7"/>
      <c r="S60" s="20"/>
      <c r="T60" s="63">
        <v>510.68</v>
      </c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58"/>
    </row>
    <row r="61" spans="2:36" s="12" customFormat="1" ht="78.75" customHeight="1" x14ac:dyDescent="0.25">
      <c r="B61" s="13" t="s">
        <v>58</v>
      </c>
      <c r="C61" s="14" t="s">
        <v>59</v>
      </c>
      <c r="D61" s="15">
        <v>2210</v>
      </c>
      <c r="E61" s="14"/>
      <c r="F61" s="14"/>
      <c r="G61" s="14">
        <v>0</v>
      </c>
      <c r="H61" s="14"/>
      <c r="I61" s="14"/>
      <c r="J61" s="14">
        <v>346</v>
      </c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4"/>
      <c r="AH61" s="14"/>
      <c r="AI61" s="79"/>
      <c r="AJ61" s="18">
        <v>346</v>
      </c>
    </row>
    <row r="62" spans="2:36" ht="78" customHeight="1" x14ac:dyDescent="0.2">
      <c r="B62" s="13" t="s">
        <v>332</v>
      </c>
      <c r="C62" s="15" t="s">
        <v>333</v>
      </c>
      <c r="D62" s="21">
        <v>2210</v>
      </c>
      <c r="E62" s="59"/>
      <c r="F62" s="59"/>
      <c r="G62" s="7"/>
      <c r="H62" s="33"/>
      <c r="I62" s="60"/>
      <c r="J62" s="7"/>
      <c r="K62" s="7"/>
      <c r="L62" s="20"/>
      <c r="M62" s="8"/>
      <c r="N62" s="7"/>
      <c r="O62" s="7"/>
      <c r="P62" s="7"/>
      <c r="Q62" s="7"/>
      <c r="R62" s="7"/>
      <c r="S62" s="20"/>
      <c r="T62" s="7"/>
      <c r="U62" s="7"/>
      <c r="V62" s="7"/>
      <c r="W62" s="7"/>
      <c r="X62" s="7"/>
      <c r="Y62" s="7"/>
      <c r="Z62" s="7"/>
      <c r="AA62" s="7">
        <v>22</v>
      </c>
      <c r="AB62" s="7"/>
      <c r="AC62" s="7"/>
      <c r="AD62" s="7"/>
      <c r="AE62" s="7"/>
      <c r="AF62" s="7"/>
      <c r="AG62" s="7"/>
      <c r="AH62" s="7"/>
      <c r="AI62" s="7"/>
      <c r="AJ62" s="58"/>
    </row>
    <row r="63" spans="2:36" ht="78" customHeight="1" x14ac:dyDescent="0.2">
      <c r="B63" s="13" t="s">
        <v>334</v>
      </c>
      <c r="C63" s="15" t="s">
        <v>335</v>
      </c>
      <c r="D63" s="21">
        <v>2210</v>
      </c>
      <c r="E63" s="59"/>
      <c r="F63" s="59"/>
      <c r="G63" s="7"/>
      <c r="H63" s="33"/>
      <c r="I63" s="60"/>
      <c r="J63" s="7"/>
      <c r="K63" s="7"/>
      <c r="L63" s="20"/>
      <c r="M63" s="8"/>
      <c r="N63" s="7"/>
      <c r="O63" s="7"/>
      <c r="P63" s="7"/>
      <c r="Q63" s="7"/>
      <c r="R63" s="7"/>
      <c r="S63" s="20"/>
      <c r="T63" s="7"/>
      <c r="U63" s="7"/>
      <c r="V63" s="7"/>
      <c r="W63" s="7"/>
      <c r="X63" s="7"/>
      <c r="Y63" s="7"/>
      <c r="Z63" s="7"/>
      <c r="AA63" s="7">
        <v>600.5</v>
      </c>
      <c r="AB63" s="7"/>
      <c r="AC63" s="7"/>
      <c r="AD63" s="7"/>
      <c r="AE63" s="7"/>
      <c r="AF63" s="7"/>
      <c r="AG63" s="7"/>
      <c r="AH63" s="7"/>
      <c r="AI63" s="7"/>
      <c r="AJ63" s="58"/>
    </row>
    <row r="64" spans="2:36" ht="78" customHeight="1" x14ac:dyDescent="0.2">
      <c r="B64" s="13" t="s">
        <v>334</v>
      </c>
      <c r="C64" s="15" t="s">
        <v>335</v>
      </c>
      <c r="D64" s="15">
        <v>2210</v>
      </c>
      <c r="E64" s="7"/>
      <c r="F64" s="59"/>
      <c r="G64" s="7"/>
      <c r="H64" s="33"/>
      <c r="I64" s="60"/>
      <c r="J64" s="8"/>
      <c r="K64" s="8"/>
      <c r="L64" s="8"/>
      <c r="M64" s="8"/>
      <c r="N64" s="7"/>
      <c r="O64" s="7"/>
      <c r="P64" s="7"/>
      <c r="Q64" s="7"/>
      <c r="R64" s="7"/>
      <c r="S64" s="20" t="s">
        <v>337</v>
      </c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58"/>
    </row>
    <row r="65" spans="2:36" s="12" customFormat="1" ht="96" customHeight="1" x14ac:dyDescent="0.25">
      <c r="B65" s="13" t="s">
        <v>61</v>
      </c>
      <c r="C65" s="15" t="s">
        <v>62</v>
      </c>
      <c r="D65" s="21">
        <v>2210</v>
      </c>
      <c r="E65" s="14"/>
      <c r="F65" s="14"/>
      <c r="G65" s="14">
        <v>0</v>
      </c>
      <c r="H65" s="14"/>
      <c r="I65" s="14">
        <v>2300</v>
      </c>
      <c r="J65" s="14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4"/>
      <c r="AH65" s="14"/>
      <c r="AI65" s="79"/>
      <c r="AJ65" s="18" t="s">
        <v>63</v>
      </c>
    </row>
    <row r="66" spans="2:36" ht="78" customHeight="1" x14ac:dyDescent="0.2">
      <c r="B66" s="13" t="s">
        <v>340</v>
      </c>
      <c r="C66" s="15" t="s">
        <v>341</v>
      </c>
      <c r="D66" s="15">
        <v>2210</v>
      </c>
      <c r="E66" s="7"/>
      <c r="F66" s="59"/>
      <c r="G66" s="7"/>
      <c r="H66" s="33"/>
      <c r="I66" s="60"/>
      <c r="J66" s="8"/>
      <c r="K66" s="8"/>
      <c r="L66" s="8"/>
      <c r="M66" s="8"/>
      <c r="N66" s="7"/>
      <c r="O66" s="7"/>
      <c r="P66" s="7"/>
      <c r="Q66" s="7"/>
      <c r="R66" s="7"/>
      <c r="S66" s="20" t="s">
        <v>342</v>
      </c>
      <c r="T66" s="63">
        <v>500</v>
      </c>
      <c r="U66" s="20"/>
      <c r="V66" s="20"/>
      <c r="W66" s="20"/>
      <c r="X66" s="7"/>
      <c r="Y66" s="7"/>
      <c r="Z66" s="7"/>
      <c r="AA66" s="7">
        <v>209.23</v>
      </c>
      <c r="AB66" s="7"/>
      <c r="AC66" s="7"/>
      <c r="AD66" s="7"/>
      <c r="AE66" s="7"/>
      <c r="AF66" s="7"/>
      <c r="AG66" s="7"/>
      <c r="AH66" s="7"/>
      <c r="AI66" s="7"/>
      <c r="AJ66" s="58"/>
    </row>
    <row r="67" spans="2:36" ht="78" customHeight="1" x14ac:dyDescent="0.2">
      <c r="B67" s="13" t="s">
        <v>343</v>
      </c>
      <c r="C67" s="15" t="s">
        <v>344</v>
      </c>
      <c r="D67" s="15">
        <v>2210</v>
      </c>
      <c r="E67" s="7"/>
      <c r="F67" s="59"/>
      <c r="G67" s="7"/>
      <c r="H67" s="33"/>
      <c r="I67" s="60"/>
      <c r="J67" s="8"/>
      <c r="K67" s="8"/>
      <c r="L67" s="8"/>
      <c r="M67" s="8"/>
      <c r="N67" s="7"/>
      <c r="O67" s="7"/>
      <c r="P67" s="7"/>
      <c r="Q67" s="7"/>
      <c r="R67" s="7"/>
      <c r="S67" s="20" t="s">
        <v>345</v>
      </c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58"/>
    </row>
    <row r="68" spans="2:36" ht="78" customHeight="1" x14ac:dyDescent="0.2">
      <c r="B68" s="13" t="s">
        <v>346</v>
      </c>
      <c r="C68" s="15" t="s">
        <v>347</v>
      </c>
      <c r="D68" s="15">
        <v>2210</v>
      </c>
      <c r="E68" s="7"/>
      <c r="F68" s="59"/>
      <c r="G68" s="7"/>
      <c r="H68" s="33"/>
      <c r="I68" s="60"/>
      <c r="J68" s="8"/>
      <c r="K68" s="8"/>
      <c r="L68" s="8"/>
      <c r="M68" s="8"/>
      <c r="N68" s="7"/>
      <c r="O68" s="7"/>
      <c r="P68" s="7"/>
      <c r="Q68" s="7"/>
      <c r="R68" s="7"/>
      <c r="S68" s="20"/>
      <c r="T68" s="7"/>
      <c r="U68" s="7"/>
      <c r="V68" s="7"/>
      <c r="W68" s="7"/>
      <c r="X68" s="7"/>
      <c r="Y68" s="7"/>
      <c r="Z68" s="7"/>
      <c r="AA68" s="7"/>
      <c r="AB68" s="7">
        <v>148</v>
      </c>
      <c r="AC68" s="7"/>
      <c r="AD68" s="7"/>
      <c r="AE68" s="7"/>
      <c r="AF68" s="7"/>
      <c r="AG68" s="7"/>
      <c r="AH68" s="7"/>
      <c r="AI68" s="7"/>
      <c r="AJ68" s="58"/>
    </row>
    <row r="69" spans="2:36" ht="78" customHeight="1" x14ac:dyDescent="0.2">
      <c r="B69" s="13" t="s">
        <v>348</v>
      </c>
      <c r="C69" s="15" t="s">
        <v>349</v>
      </c>
      <c r="D69" s="15">
        <v>2210</v>
      </c>
      <c r="E69" s="7"/>
      <c r="F69" s="59"/>
      <c r="G69" s="7"/>
      <c r="H69" s="33"/>
      <c r="I69" s="60"/>
      <c r="J69" s="8"/>
      <c r="K69" s="8"/>
      <c r="L69" s="8"/>
      <c r="M69" s="8"/>
      <c r="N69" s="7"/>
      <c r="O69" s="7"/>
      <c r="P69" s="7"/>
      <c r="Q69" s="7"/>
      <c r="R69" s="7"/>
      <c r="S69" s="20"/>
      <c r="T69" s="7"/>
      <c r="U69" s="7"/>
      <c r="V69" s="7"/>
      <c r="W69" s="7"/>
      <c r="X69" s="7"/>
      <c r="Y69" s="7"/>
      <c r="Z69" s="7"/>
      <c r="AA69" s="7">
        <v>71</v>
      </c>
      <c r="AB69" s="7"/>
      <c r="AC69" s="7"/>
      <c r="AD69" s="7"/>
      <c r="AE69" s="7"/>
      <c r="AF69" s="7"/>
      <c r="AG69" s="7"/>
      <c r="AH69" s="7"/>
      <c r="AI69" s="7"/>
      <c r="AJ69" s="58"/>
    </row>
    <row r="70" spans="2:36" ht="78" customHeight="1" x14ac:dyDescent="0.2">
      <c r="B70" s="19" t="s">
        <v>350</v>
      </c>
      <c r="C70" s="15" t="s">
        <v>351</v>
      </c>
      <c r="D70" s="15">
        <v>2210</v>
      </c>
      <c r="E70" s="7"/>
      <c r="F70" s="59"/>
      <c r="G70" s="7"/>
      <c r="H70" s="33"/>
      <c r="I70" s="60"/>
      <c r="J70" s="8"/>
      <c r="K70" s="8"/>
      <c r="L70" s="8"/>
      <c r="M70" s="8"/>
      <c r="N70" s="7"/>
      <c r="O70" s="7"/>
      <c r="P70" s="7"/>
      <c r="Q70" s="7"/>
      <c r="R70" s="7"/>
      <c r="S70" s="20"/>
      <c r="T70" s="7"/>
      <c r="U70" s="7"/>
      <c r="V70" s="7"/>
      <c r="W70" s="7"/>
      <c r="X70" s="7"/>
      <c r="Y70" s="7"/>
      <c r="Z70" s="62">
        <v>340</v>
      </c>
      <c r="AA70" s="7">
        <v>180</v>
      </c>
      <c r="AB70" s="7">
        <f>368+294</f>
        <v>662</v>
      </c>
      <c r="AC70" s="7"/>
      <c r="AD70" s="7"/>
      <c r="AE70" s="7"/>
      <c r="AF70" s="7"/>
      <c r="AG70" s="7"/>
      <c r="AH70" s="7"/>
      <c r="AI70" s="7"/>
      <c r="AJ70" s="58"/>
    </row>
    <row r="71" spans="2:36" ht="78" customHeight="1" x14ac:dyDescent="0.2">
      <c r="B71" s="13" t="s">
        <v>352</v>
      </c>
      <c r="C71" s="15" t="s">
        <v>353</v>
      </c>
      <c r="D71" s="21">
        <v>2210</v>
      </c>
      <c r="E71" s="7"/>
      <c r="F71" s="59" t="s">
        <v>354</v>
      </c>
      <c r="G71" s="7">
        <v>1300</v>
      </c>
      <c r="H71" s="33"/>
      <c r="I71" s="60">
        <v>750</v>
      </c>
      <c r="J71" s="8"/>
      <c r="K71" s="8"/>
      <c r="L71" s="8"/>
      <c r="M71" s="8"/>
      <c r="N71" s="7">
        <v>450</v>
      </c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58"/>
    </row>
    <row r="72" spans="2:36" ht="78" customHeight="1" x14ac:dyDescent="0.2">
      <c r="B72" s="13" t="s">
        <v>355</v>
      </c>
      <c r="C72" s="15" t="s">
        <v>356</v>
      </c>
      <c r="D72" s="21">
        <v>2210</v>
      </c>
      <c r="E72" s="7"/>
      <c r="F72" s="7"/>
      <c r="G72" s="33"/>
      <c r="H72" s="59"/>
      <c r="I72" s="60">
        <v>1400</v>
      </c>
      <c r="J72" s="8"/>
      <c r="K72" s="8"/>
      <c r="L72" s="8"/>
      <c r="M72" s="8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58"/>
    </row>
    <row r="73" spans="2:36" ht="15.75" customHeight="1" x14ac:dyDescent="0.2">
      <c r="B73" s="13" t="s">
        <v>357</v>
      </c>
      <c r="C73" s="15" t="s">
        <v>358</v>
      </c>
      <c r="D73" s="21">
        <v>2210</v>
      </c>
      <c r="E73" s="64"/>
      <c r="F73" s="59"/>
      <c r="G73" s="7"/>
      <c r="H73" s="33"/>
      <c r="I73" s="60"/>
      <c r="J73" s="8"/>
      <c r="K73" s="60"/>
      <c r="L73" s="8"/>
      <c r="M73" s="8"/>
      <c r="N73" s="7"/>
      <c r="O73" s="7"/>
      <c r="P73" s="7"/>
      <c r="Q73" s="7"/>
      <c r="R73" s="7"/>
      <c r="S73" s="59" t="s">
        <v>359</v>
      </c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58"/>
    </row>
    <row r="74" spans="2:36" ht="86.25" customHeight="1" x14ac:dyDescent="0.2">
      <c r="B74" s="13" t="s">
        <v>360</v>
      </c>
      <c r="C74" s="15" t="s">
        <v>361</v>
      </c>
      <c r="D74" s="21">
        <v>2210</v>
      </c>
      <c r="E74" s="64"/>
      <c r="F74" s="59"/>
      <c r="G74" s="7"/>
      <c r="H74" s="33"/>
      <c r="I74" s="60">
        <v>600</v>
      </c>
      <c r="J74" s="8"/>
      <c r="K74" s="60">
        <v>7500</v>
      </c>
      <c r="L74" s="8"/>
      <c r="M74" s="8"/>
      <c r="N74" s="7"/>
      <c r="O74" s="7"/>
      <c r="P74" s="7">
        <v>2500</v>
      </c>
      <c r="Q74" s="7"/>
      <c r="R74" s="7"/>
      <c r="S74" s="20" t="s">
        <v>362</v>
      </c>
      <c r="T74" s="7"/>
      <c r="U74" s="7"/>
      <c r="V74" s="7"/>
      <c r="W74" s="7"/>
      <c r="X74" s="7"/>
      <c r="Y74" s="7"/>
      <c r="Z74" s="7"/>
      <c r="AA74" s="7"/>
      <c r="AB74" s="7"/>
      <c r="AC74" s="7">
        <v>60365</v>
      </c>
      <c r="AD74" s="7"/>
      <c r="AE74" s="7"/>
      <c r="AF74" s="7"/>
      <c r="AG74" s="7"/>
      <c r="AH74" s="7"/>
      <c r="AI74" s="7"/>
      <c r="AJ74" s="58"/>
    </row>
    <row r="75" spans="2:36" ht="54.6" customHeight="1" x14ac:dyDescent="0.2">
      <c r="B75" s="13" t="s">
        <v>363</v>
      </c>
      <c r="C75" s="15" t="s">
        <v>364</v>
      </c>
      <c r="D75" s="15">
        <v>2210</v>
      </c>
      <c r="E75" s="15"/>
      <c r="F75" s="15"/>
      <c r="G75" s="7"/>
      <c r="H75" s="33"/>
      <c r="I75" s="60"/>
      <c r="J75" s="8"/>
      <c r="K75" s="60"/>
      <c r="L75" s="8"/>
      <c r="M75" s="8"/>
      <c r="N75" s="7"/>
      <c r="O75" s="7"/>
      <c r="P75" s="7"/>
      <c r="Q75" s="7"/>
      <c r="R75" s="20" t="s">
        <v>365</v>
      </c>
      <c r="S75" s="20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58"/>
    </row>
    <row r="76" spans="2:36" ht="33" x14ac:dyDescent="0.2">
      <c r="B76" s="13" t="s">
        <v>366</v>
      </c>
      <c r="C76" s="15" t="s">
        <v>367</v>
      </c>
      <c r="D76" s="15">
        <v>2210</v>
      </c>
      <c r="E76" s="15"/>
      <c r="F76" s="15"/>
      <c r="G76" s="7"/>
      <c r="H76" s="33"/>
      <c r="I76" s="60"/>
      <c r="J76" s="8"/>
      <c r="K76" s="60"/>
      <c r="L76" s="8"/>
      <c r="M76" s="8"/>
      <c r="N76" s="7"/>
      <c r="O76" s="7"/>
      <c r="P76" s="7"/>
      <c r="Q76" s="7"/>
      <c r="R76" s="20"/>
      <c r="S76" s="20"/>
      <c r="T76" s="7"/>
      <c r="U76" s="7"/>
      <c r="V76" s="7"/>
      <c r="W76" s="7"/>
      <c r="X76" s="7"/>
      <c r="Y76" s="7"/>
      <c r="Z76" s="7">
        <v>2600</v>
      </c>
      <c r="AA76" s="7"/>
      <c r="AB76" s="7"/>
      <c r="AC76" s="7"/>
      <c r="AD76" s="7"/>
      <c r="AE76" s="7"/>
      <c r="AF76" s="7"/>
      <c r="AG76" s="7"/>
      <c r="AH76" s="7"/>
      <c r="AI76" s="7"/>
      <c r="AJ76" s="58"/>
    </row>
    <row r="77" spans="2:36" ht="54.6" customHeight="1" x14ac:dyDescent="0.2">
      <c r="B77" s="13" t="s">
        <v>368</v>
      </c>
      <c r="C77" s="15" t="s">
        <v>369</v>
      </c>
      <c r="D77" s="15">
        <v>2210</v>
      </c>
      <c r="E77" s="7"/>
      <c r="F77" s="59"/>
      <c r="G77" s="7"/>
      <c r="H77" s="33"/>
      <c r="I77" s="60"/>
      <c r="J77" s="8"/>
      <c r="K77" s="60"/>
      <c r="L77" s="8"/>
      <c r="M77" s="8"/>
      <c r="N77" s="7"/>
      <c r="O77" s="7"/>
      <c r="P77" s="7"/>
      <c r="Q77" s="7"/>
      <c r="R77" s="7"/>
      <c r="S77" s="20" t="s">
        <v>370</v>
      </c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58"/>
    </row>
    <row r="78" spans="2:36" ht="54.6" customHeight="1" x14ac:dyDescent="0.2">
      <c r="B78" s="13" t="s">
        <v>371</v>
      </c>
      <c r="C78" s="15" t="s">
        <v>372</v>
      </c>
      <c r="D78" s="15">
        <v>2210</v>
      </c>
      <c r="E78" s="7"/>
      <c r="F78" s="59"/>
      <c r="G78" s="7"/>
      <c r="H78" s="33"/>
      <c r="I78" s="60"/>
      <c r="J78" s="8"/>
      <c r="K78" s="60"/>
      <c r="L78" s="8"/>
      <c r="M78" s="8"/>
      <c r="N78" s="7"/>
      <c r="O78" s="7"/>
      <c r="P78" s="7"/>
      <c r="Q78" s="7"/>
      <c r="R78" s="7"/>
      <c r="S78" s="20"/>
      <c r="T78" s="63">
        <v>506.25</v>
      </c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58"/>
    </row>
    <row r="79" spans="2:36" ht="54.6" customHeight="1" x14ac:dyDescent="0.2">
      <c r="B79" s="13" t="s">
        <v>373</v>
      </c>
      <c r="C79" s="15" t="s">
        <v>374</v>
      </c>
      <c r="D79" s="21">
        <v>2210</v>
      </c>
      <c r="E79" s="7"/>
      <c r="F79" s="59"/>
      <c r="G79" s="7"/>
      <c r="H79" s="33"/>
      <c r="I79" s="60"/>
      <c r="J79" s="8"/>
      <c r="K79" s="60"/>
      <c r="L79" s="8"/>
      <c r="M79" s="8"/>
      <c r="N79" s="7">
        <v>3000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58"/>
    </row>
    <row r="80" spans="2:36" ht="54.6" customHeight="1" x14ac:dyDescent="0.2">
      <c r="B80" s="13" t="s">
        <v>375</v>
      </c>
      <c r="C80" s="15" t="s">
        <v>376</v>
      </c>
      <c r="D80" s="21">
        <v>2210</v>
      </c>
      <c r="E80" s="7">
        <v>3000</v>
      </c>
      <c r="F80" s="59" t="s">
        <v>377</v>
      </c>
      <c r="G80" s="7">
        <f>E80+F80</f>
        <v>6000</v>
      </c>
      <c r="H80" s="33"/>
      <c r="I80" s="7"/>
      <c r="J80" s="7"/>
      <c r="K80" s="7"/>
      <c r="L80" s="8"/>
      <c r="M80" s="8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58"/>
    </row>
    <row r="81" spans="2:36" ht="15.75" x14ac:dyDescent="0.2">
      <c r="B81" s="65" t="s">
        <v>435</v>
      </c>
      <c r="C81" s="7"/>
      <c r="D81" s="21"/>
      <c r="E81" s="60">
        <f t="shared" ref="E81:AG81" si="1">SUM(E8:E80)</f>
        <v>12000</v>
      </c>
      <c r="F81" s="60">
        <f t="shared" si="1"/>
        <v>89800</v>
      </c>
      <c r="G81" s="60">
        <f t="shared" si="1"/>
        <v>106930</v>
      </c>
      <c r="H81" s="60">
        <f t="shared" si="1"/>
        <v>0</v>
      </c>
      <c r="I81" s="60">
        <f t="shared" si="1"/>
        <v>6567</v>
      </c>
      <c r="J81" s="60">
        <f t="shared" si="1"/>
        <v>1448</v>
      </c>
      <c r="K81" s="60">
        <f t="shared" si="1"/>
        <v>9380</v>
      </c>
      <c r="L81" s="60">
        <f t="shared" si="1"/>
        <v>7500</v>
      </c>
      <c r="M81" s="60">
        <f t="shared" si="1"/>
        <v>3817.9</v>
      </c>
      <c r="N81" s="60">
        <f t="shared" si="1"/>
        <v>4051</v>
      </c>
      <c r="O81" s="60">
        <f t="shared" si="1"/>
        <v>530.4</v>
      </c>
      <c r="P81" s="60">
        <f t="shared" si="1"/>
        <v>2500</v>
      </c>
      <c r="Q81" s="60">
        <f t="shared" si="1"/>
        <v>99</v>
      </c>
      <c r="R81" s="60">
        <f t="shared" si="1"/>
        <v>3400</v>
      </c>
      <c r="S81" s="60">
        <f t="shared" si="1"/>
        <v>31279.84</v>
      </c>
      <c r="T81" s="60">
        <f t="shared" si="1"/>
        <v>23495.57</v>
      </c>
      <c r="U81" s="60">
        <f t="shared" si="1"/>
        <v>4249.7299999999996</v>
      </c>
      <c r="V81" s="60">
        <f t="shared" si="1"/>
        <v>0</v>
      </c>
      <c r="W81" s="60">
        <f t="shared" si="1"/>
        <v>5877</v>
      </c>
      <c r="X81" s="60">
        <f t="shared" si="1"/>
        <v>0</v>
      </c>
      <c r="Y81" s="60">
        <f t="shared" si="1"/>
        <v>4000</v>
      </c>
      <c r="Z81" s="60">
        <f t="shared" si="1"/>
        <v>12442</v>
      </c>
      <c r="AA81" s="60">
        <f t="shared" si="1"/>
        <v>2943.34</v>
      </c>
      <c r="AB81" s="60">
        <f t="shared" si="1"/>
        <v>1718</v>
      </c>
      <c r="AC81" s="60">
        <f t="shared" si="1"/>
        <v>60665</v>
      </c>
      <c r="AD81" s="60">
        <f t="shared" si="1"/>
        <v>0</v>
      </c>
      <c r="AE81" s="60">
        <f t="shared" si="1"/>
        <v>0</v>
      </c>
      <c r="AF81" s="60">
        <f t="shared" si="1"/>
        <v>0</v>
      </c>
      <c r="AG81" s="60">
        <f t="shared" si="1"/>
        <v>0</v>
      </c>
      <c r="AH81" s="7"/>
      <c r="AI81" s="7"/>
      <c r="AJ81" s="66"/>
    </row>
    <row r="82" spans="2:36" ht="54.6" customHeight="1" x14ac:dyDescent="0.2">
      <c r="B82" s="13" t="s">
        <v>43</v>
      </c>
      <c r="C82" s="15" t="s">
        <v>436</v>
      </c>
      <c r="D82" s="21">
        <v>2220</v>
      </c>
      <c r="E82" s="7">
        <v>3000</v>
      </c>
      <c r="F82" s="7"/>
      <c r="G82" s="7">
        <f>E82+F82</f>
        <v>3000</v>
      </c>
      <c r="H82" s="8"/>
      <c r="I82" s="60"/>
      <c r="J82" s="7"/>
      <c r="K82" s="7"/>
      <c r="L82" s="7"/>
      <c r="M82" s="6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>
        <v>-1812</v>
      </c>
      <c r="AB82" s="7"/>
      <c r="AC82" s="7"/>
      <c r="AD82" s="7"/>
      <c r="AE82" s="7"/>
      <c r="AF82" s="7"/>
      <c r="AG82" s="7">
        <v>1500</v>
      </c>
      <c r="AH82" s="7" t="s">
        <v>540</v>
      </c>
      <c r="AI82" s="7"/>
      <c r="AJ82" s="68"/>
    </row>
    <row r="83" spans="2:36" ht="54.6" customHeight="1" x14ac:dyDescent="0.2">
      <c r="B83" s="13" t="s">
        <v>65</v>
      </c>
      <c r="C83" s="15" t="s">
        <v>66</v>
      </c>
      <c r="D83" s="21">
        <v>2220</v>
      </c>
      <c r="E83" s="59"/>
      <c r="F83" s="7"/>
      <c r="G83" s="7">
        <f t="shared" ref="G83:G115" si="2">E83+F83</f>
        <v>0</v>
      </c>
      <c r="H83" s="7"/>
      <c r="I83" s="60"/>
      <c r="J83" s="7"/>
      <c r="K83" s="7"/>
      <c r="L83" s="7"/>
      <c r="M83" s="67"/>
      <c r="N83" s="7">
        <v>1542</v>
      </c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>
        <v>1500</v>
      </c>
      <c r="AH83" s="7"/>
      <c r="AI83" s="7"/>
      <c r="AJ83" s="68"/>
    </row>
    <row r="84" spans="2:36" ht="54.6" customHeight="1" x14ac:dyDescent="0.2">
      <c r="B84" s="13" t="s">
        <v>67</v>
      </c>
      <c r="C84" s="15" t="s">
        <v>68</v>
      </c>
      <c r="D84" s="21">
        <v>2220</v>
      </c>
      <c r="E84" s="7">
        <v>300</v>
      </c>
      <c r="F84" s="7"/>
      <c r="G84" s="7">
        <f t="shared" si="2"/>
        <v>300</v>
      </c>
      <c r="H84" s="3"/>
      <c r="I84" s="7"/>
      <c r="J84" s="7"/>
      <c r="K84" s="7"/>
      <c r="L84" s="7"/>
      <c r="M84" s="9"/>
      <c r="N84" s="7"/>
      <c r="O84" s="7">
        <v>600</v>
      </c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>
        <f>305.18-619.13+307.86</f>
        <v>-6.089999999999975</v>
      </c>
      <c r="AB84" s="7"/>
      <c r="AC84" s="7"/>
      <c r="AD84" s="7"/>
      <c r="AE84" s="7"/>
      <c r="AF84" s="7"/>
      <c r="AG84" s="7">
        <v>1000</v>
      </c>
      <c r="AH84" s="7" t="s">
        <v>541</v>
      </c>
      <c r="AI84" s="7"/>
      <c r="AJ84" s="68"/>
    </row>
    <row r="85" spans="2:36" ht="54.6" customHeight="1" x14ac:dyDescent="0.2">
      <c r="B85" s="13" t="s">
        <v>142</v>
      </c>
      <c r="C85" s="15" t="s">
        <v>143</v>
      </c>
      <c r="D85" s="21">
        <v>2220</v>
      </c>
      <c r="E85" s="7">
        <v>17000</v>
      </c>
      <c r="F85" s="7"/>
      <c r="G85" s="7">
        <f t="shared" si="2"/>
        <v>17000</v>
      </c>
      <c r="H85" s="3"/>
      <c r="I85" s="7"/>
      <c r="J85" s="7"/>
      <c r="K85" s="7"/>
      <c r="L85" s="7">
        <v>1372</v>
      </c>
      <c r="M85" s="9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>
        <v>21457.8</v>
      </c>
      <c r="Z85" s="7"/>
      <c r="AA85" s="7"/>
      <c r="AB85" s="7"/>
      <c r="AC85" s="7"/>
      <c r="AD85" s="7"/>
      <c r="AE85" s="7"/>
      <c r="AF85" s="7"/>
      <c r="AG85" s="7">
        <v>40000</v>
      </c>
      <c r="AH85" s="7" t="s">
        <v>540</v>
      </c>
      <c r="AI85" s="7"/>
      <c r="AJ85" s="68"/>
    </row>
    <row r="86" spans="2:36" ht="54.6" customHeight="1" x14ac:dyDescent="0.2">
      <c r="B86" s="13" t="s">
        <v>439</v>
      </c>
      <c r="C86" s="15" t="s">
        <v>50</v>
      </c>
      <c r="D86" s="21">
        <v>2220</v>
      </c>
      <c r="E86" s="7">
        <v>2000</v>
      </c>
      <c r="F86" s="7"/>
      <c r="G86" s="7">
        <f t="shared" si="2"/>
        <v>2000</v>
      </c>
      <c r="H86" s="3"/>
      <c r="I86" s="7"/>
      <c r="J86" s="7"/>
      <c r="K86" s="7"/>
      <c r="L86" s="7"/>
      <c r="M86" s="9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>
        <f>-709.05+933.02</f>
        <v>223.97000000000003</v>
      </c>
      <c r="AB86" s="7"/>
      <c r="AC86" s="7"/>
      <c r="AD86" s="7"/>
      <c r="AE86" s="7"/>
      <c r="AF86" s="7"/>
      <c r="AG86" s="7">
        <v>2500</v>
      </c>
      <c r="AH86" s="7"/>
      <c r="AI86" s="7"/>
      <c r="AJ86" s="68"/>
    </row>
    <row r="87" spans="2:36" ht="54.6" customHeight="1" x14ac:dyDescent="0.2">
      <c r="B87" s="13" t="s">
        <v>440</v>
      </c>
      <c r="C87" s="15" t="s">
        <v>441</v>
      </c>
      <c r="D87" s="21">
        <v>2220</v>
      </c>
      <c r="E87" s="7">
        <v>500</v>
      </c>
      <c r="F87" s="7"/>
      <c r="G87" s="7">
        <f t="shared" si="2"/>
        <v>500</v>
      </c>
      <c r="H87" s="3"/>
      <c r="I87" s="7"/>
      <c r="J87" s="7"/>
      <c r="K87" s="7"/>
      <c r="L87" s="7">
        <v>835</v>
      </c>
      <c r="M87" s="9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>
        <v>1500</v>
      </c>
      <c r="AH87" s="7"/>
      <c r="AI87" s="7"/>
      <c r="AJ87" s="68"/>
    </row>
    <row r="88" spans="2:36" ht="54.6" customHeight="1" x14ac:dyDescent="0.2">
      <c r="B88" s="13" t="s">
        <v>70</v>
      </c>
      <c r="C88" s="15" t="s">
        <v>71</v>
      </c>
      <c r="D88" s="21">
        <v>2220</v>
      </c>
      <c r="E88" s="7">
        <v>99000</v>
      </c>
      <c r="F88" s="7"/>
      <c r="G88" s="7">
        <f t="shared" si="2"/>
        <v>99000</v>
      </c>
      <c r="H88" s="3"/>
      <c r="I88" s="7"/>
      <c r="J88" s="7"/>
      <c r="K88" s="7"/>
      <c r="L88" s="7">
        <v>-17945.7</v>
      </c>
      <c r="M88" s="9"/>
      <c r="N88" s="7"/>
      <c r="O88" s="7"/>
      <c r="P88" s="7"/>
      <c r="Q88" s="7"/>
      <c r="R88" s="7"/>
      <c r="S88" s="20" t="s">
        <v>442</v>
      </c>
      <c r="T88" s="7"/>
      <c r="U88" s="7"/>
      <c r="V88" s="7"/>
      <c r="W88" s="7"/>
      <c r="X88" s="7"/>
      <c r="Y88" s="7"/>
      <c r="Z88" s="7"/>
      <c r="AA88" s="7">
        <f>8346.02+205.44</f>
        <v>8551.4600000000009</v>
      </c>
      <c r="AB88" s="7"/>
      <c r="AC88" s="7"/>
      <c r="AD88" s="7"/>
      <c r="AE88" s="7"/>
      <c r="AF88" s="7"/>
      <c r="AG88" s="7">
        <v>99900</v>
      </c>
      <c r="AH88" s="7"/>
      <c r="AI88" s="7"/>
      <c r="AJ88" s="68"/>
    </row>
    <row r="89" spans="2:36" ht="54.6" customHeight="1" x14ac:dyDescent="0.2">
      <c r="B89" s="13" t="s">
        <v>72</v>
      </c>
      <c r="C89" s="15" t="s">
        <v>73</v>
      </c>
      <c r="D89" s="21">
        <v>2220</v>
      </c>
      <c r="E89" s="7">
        <v>10700</v>
      </c>
      <c r="F89" s="7"/>
      <c r="G89" s="7">
        <f t="shared" si="2"/>
        <v>10700</v>
      </c>
      <c r="H89" s="3"/>
      <c r="I89" s="7"/>
      <c r="J89" s="7"/>
      <c r="K89" s="7"/>
      <c r="L89" s="7"/>
      <c r="M89" s="9"/>
      <c r="N89" s="7"/>
      <c r="O89" s="7"/>
      <c r="P89" s="7"/>
      <c r="Q89" s="7"/>
      <c r="R89" s="7"/>
      <c r="S89" s="7"/>
      <c r="T89" s="7"/>
      <c r="U89" s="7">
        <v>-6000</v>
      </c>
      <c r="V89" s="7"/>
      <c r="W89" s="7"/>
      <c r="X89" s="7"/>
      <c r="Y89" s="7"/>
      <c r="Z89" s="7"/>
      <c r="AA89" s="7">
        <f>4251.1+1492.65</f>
        <v>5743.75</v>
      </c>
      <c r="AB89" s="7"/>
      <c r="AC89" s="7"/>
      <c r="AD89" s="7"/>
      <c r="AE89" s="7"/>
      <c r="AF89" s="7"/>
      <c r="AG89" s="7">
        <v>10500</v>
      </c>
      <c r="AH89" s="7"/>
      <c r="AI89" s="7"/>
      <c r="AJ89" s="68"/>
    </row>
    <row r="90" spans="2:36" ht="54.6" customHeight="1" x14ac:dyDescent="0.2">
      <c r="B90" s="13" t="s">
        <v>52</v>
      </c>
      <c r="C90" s="15" t="s">
        <v>53</v>
      </c>
      <c r="D90" s="21">
        <v>2220</v>
      </c>
      <c r="E90" s="7">
        <v>100</v>
      </c>
      <c r="F90" s="7"/>
      <c r="G90" s="7">
        <f t="shared" si="2"/>
        <v>100</v>
      </c>
      <c r="H90" s="3"/>
      <c r="I90" s="7"/>
      <c r="J90" s="7"/>
      <c r="K90" s="7"/>
      <c r="L90" s="7"/>
      <c r="M90" s="9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>
        <v>-100</v>
      </c>
      <c r="AB90" s="7"/>
      <c r="AC90" s="7"/>
      <c r="AD90" s="7"/>
      <c r="AE90" s="7"/>
      <c r="AF90" s="7"/>
      <c r="AG90" s="7">
        <v>300</v>
      </c>
      <c r="AH90" s="7"/>
      <c r="AI90" s="7"/>
      <c r="AJ90" s="68"/>
    </row>
    <row r="91" spans="2:36" ht="54.6" customHeight="1" x14ac:dyDescent="0.2">
      <c r="B91" s="13" t="s">
        <v>74</v>
      </c>
      <c r="C91" s="15" t="s">
        <v>75</v>
      </c>
      <c r="D91" s="21">
        <v>2220</v>
      </c>
      <c r="E91" s="7">
        <v>56000</v>
      </c>
      <c r="F91" s="7"/>
      <c r="G91" s="7">
        <f t="shared" si="2"/>
        <v>56000</v>
      </c>
      <c r="H91" s="3"/>
      <c r="I91" s="7"/>
      <c r="J91" s="7"/>
      <c r="K91" s="7"/>
      <c r="L91" s="7"/>
      <c r="M91" s="9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>
        <v>16867.810000000001</v>
      </c>
      <c r="AB91" s="7"/>
      <c r="AC91" s="7"/>
      <c r="AD91" s="7"/>
      <c r="AE91" s="7"/>
      <c r="AF91" s="7"/>
      <c r="AG91" s="7">
        <v>99000</v>
      </c>
      <c r="AH91" s="7" t="s">
        <v>544</v>
      </c>
      <c r="AI91" s="7"/>
      <c r="AJ91" s="68"/>
    </row>
    <row r="92" spans="2:36" ht="54.6" customHeight="1" x14ac:dyDescent="0.2">
      <c r="B92" s="13" t="s">
        <v>443</v>
      </c>
      <c r="C92" s="15" t="s">
        <v>252</v>
      </c>
      <c r="D92" s="21">
        <v>2220</v>
      </c>
      <c r="E92" s="7">
        <v>8000</v>
      </c>
      <c r="F92" s="7"/>
      <c r="G92" s="7">
        <f t="shared" si="2"/>
        <v>8000</v>
      </c>
      <c r="H92" s="3"/>
      <c r="I92" s="7"/>
      <c r="J92" s="7"/>
      <c r="K92" s="7"/>
      <c r="L92" s="7"/>
      <c r="M92" s="9"/>
      <c r="N92" s="7"/>
      <c r="O92" s="7"/>
      <c r="P92" s="7"/>
      <c r="Q92" s="7"/>
      <c r="R92" s="7"/>
      <c r="S92" s="7"/>
      <c r="T92" s="7"/>
      <c r="U92" s="7">
        <v>1869.29</v>
      </c>
      <c r="V92" s="7"/>
      <c r="W92" s="7"/>
      <c r="X92" s="7"/>
      <c r="Y92" s="7"/>
      <c r="Z92" s="7"/>
      <c r="AA92" s="7">
        <v>16922.05</v>
      </c>
      <c r="AB92" s="7"/>
      <c r="AC92" s="7"/>
      <c r="AD92" s="7"/>
      <c r="AE92" s="7"/>
      <c r="AF92" s="7"/>
      <c r="AG92" s="7">
        <v>30000</v>
      </c>
      <c r="AH92" s="7"/>
      <c r="AI92" s="7"/>
      <c r="AJ92" s="68"/>
    </row>
    <row r="93" spans="2:36" ht="54.6" customHeight="1" x14ac:dyDescent="0.2">
      <c r="B93" s="13" t="s">
        <v>444</v>
      </c>
      <c r="C93" s="15" t="s">
        <v>445</v>
      </c>
      <c r="D93" s="21">
        <v>2220</v>
      </c>
      <c r="E93" s="7">
        <v>24000</v>
      </c>
      <c r="F93" s="7"/>
      <c r="G93" s="7">
        <f t="shared" si="2"/>
        <v>24000</v>
      </c>
      <c r="H93" s="3"/>
      <c r="I93" s="7"/>
      <c r="J93" s="7"/>
      <c r="K93" s="7"/>
      <c r="L93" s="7"/>
      <c r="M93" s="9"/>
      <c r="N93" s="7"/>
      <c r="O93" s="7"/>
      <c r="P93" s="7"/>
      <c r="Q93" s="7"/>
      <c r="R93" s="7"/>
      <c r="S93" s="7"/>
      <c r="T93" s="7"/>
      <c r="U93" s="7">
        <v>-5254.85</v>
      </c>
      <c r="V93" s="7"/>
      <c r="W93" s="7"/>
      <c r="X93" s="7"/>
      <c r="Y93" s="7"/>
      <c r="Z93" s="7"/>
      <c r="AA93" s="7">
        <f>-4985.89+995.1</f>
        <v>-3990.7900000000004</v>
      </c>
      <c r="AB93" s="7"/>
      <c r="AC93" s="7"/>
      <c r="AD93" s="7"/>
      <c r="AE93" s="7"/>
      <c r="AF93" s="7"/>
      <c r="AG93" s="7">
        <v>15000</v>
      </c>
      <c r="AH93" s="7"/>
      <c r="AI93" s="7"/>
      <c r="AJ93" s="68"/>
    </row>
    <row r="94" spans="2:36" ht="54.6" customHeight="1" x14ac:dyDescent="0.2">
      <c r="B94" s="13" t="s">
        <v>77</v>
      </c>
      <c r="C94" s="15" t="s">
        <v>78</v>
      </c>
      <c r="D94" s="21">
        <v>2220</v>
      </c>
      <c r="E94" s="7">
        <v>40000</v>
      </c>
      <c r="F94" s="7"/>
      <c r="G94" s="7">
        <f t="shared" si="2"/>
        <v>40000</v>
      </c>
      <c r="H94" s="3"/>
      <c r="I94" s="7"/>
      <c r="J94" s="7"/>
      <c r="K94" s="7"/>
      <c r="L94" s="7"/>
      <c r="M94" s="9"/>
      <c r="N94" s="7"/>
      <c r="O94" s="7"/>
      <c r="P94" s="7"/>
      <c r="Q94" s="7"/>
      <c r="R94" s="7"/>
      <c r="S94" s="7"/>
      <c r="T94" s="7"/>
      <c r="U94" s="7">
        <v>72.069999999999993</v>
      </c>
      <c r="V94" s="7"/>
      <c r="W94" s="7"/>
      <c r="X94" s="7"/>
      <c r="Y94" s="7"/>
      <c r="Z94" s="7"/>
      <c r="AA94" s="7">
        <v>2557.64</v>
      </c>
      <c r="AB94" s="7"/>
      <c r="AC94" s="7"/>
      <c r="AD94" s="7"/>
      <c r="AE94" s="7"/>
      <c r="AF94" s="7"/>
      <c r="AG94" s="7">
        <v>60000</v>
      </c>
      <c r="AH94" s="7" t="s">
        <v>542</v>
      </c>
      <c r="AI94" s="7"/>
      <c r="AJ94" s="68"/>
    </row>
    <row r="95" spans="2:36" ht="54.6" customHeight="1" x14ac:dyDescent="0.2">
      <c r="B95" s="13" t="s">
        <v>446</v>
      </c>
      <c r="C95" s="15" t="s">
        <v>447</v>
      </c>
      <c r="D95" s="21">
        <v>2220</v>
      </c>
      <c r="E95" s="7">
        <v>200</v>
      </c>
      <c r="F95" s="7"/>
      <c r="G95" s="7">
        <f t="shared" si="2"/>
        <v>200</v>
      </c>
      <c r="H95" s="3"/>
      <c r="I95" s="7"/>
      <c r="J95" s="7"/>
      <c r="K95" s="7"/>
      <c r="L95" s="7"/>
      <c r="M95" s="9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>
        <v>-200</v>
      </c>
      <c r="AB95" s="7"/>
      <c r="AC95" s="7"/>
      <c r="AD95" s="7"/>
      <c r="AE95" s="7"/>
      <c r="AF95" s="7"/>
      <c r="AG95" s="7">
        <v>100</v>
      </c>
      <c r="AH95" s="7"/>
      <c r="AI95" s="7"/>
      <c r="AJ95" s="68"/>
    </row>
    <row r="96" spans="2:36" ht="54.6" customHeight="1" x14ac:dyDescent="0.2">
      <c r="B96" s="13" t="s">
        <v>387</v>
      </c>
      <c r="C96" s="15" t="s">
        <v>388</v>
      </c>
      <c r="D96" s="21">
        <v>2220</v>
      </c>
      <c r="E96" s="7">
        <v>700</v>
      </c>
      <c r="F96" s="7"/>
      <c r="G96" s="7">
        <f t="shared" si="2"/>
        <v>700</v>
      </c>
      <c r="H96" s="3"/>
      <c r="I96" s="7"/>
      <c r="J96" s="7"/>
      <c r="K96" s="7"/>
      <c r="L96" s="7"/>
      <c r="M96" s="9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>
        <f>-253.81+254.66</f>
        <v>0.84999999999999432</v>
      </c>
      <c r="AB96" s="7"/>
      <c r="AC96" s="7"/>
      <c r="AD96" s="7"/>
      <c r="AE96" s="7"/>
      <c r="AF96" s="7"/>
      <c r="AG96" s="7">
        <v>700</v>
      </c>
      <c r="AH96" s="7"/>
      <c r="AI96" s="7"/>
      <c r="AJ96" s="68"/>
    </row>
    <row r="97" spans="2:39" ht="54.6" customHeight="1" x14ac:dyDescent="0.2">
      <c r="B97" s="13" t="s">
        <v>448</v>
      </c>
      <c r="C97" s="15" t="s">
        <v>449</v>
      </c>
      <c r="D97" s="21">
        <v>2220</v>
      </c>
      <c r="E97" s="7">
        <v>3000</v>
      </c>
      <c r="F97" s="7"/>
      <c r="G97" s="7">
        <f t="shared" si="2"/>
        <v>3000</v>
      </c>
      <c r="H97" s="3"/>
      <c r="I97" s="7"/>
      <c r="J97" s="7"/>
      <c r="K97" s="7"/>
      <c r="L97" s="7">
        <v>5050</v>
      </c>
      <c r="M97" s="9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>
        <v>10000</v>
      </c>
      <c r="AH97" s="7" t="s">
        <v>540</v>
      </c>
      <c r="AI97" s="7"/>
      <c r="AJ97" s="68"/>
    </row>
    <row r="98" spans="2:39" ht="54.6" customHeight="1" x14ac:dyDescent="0.2">
      <c r="B98" s="13" t="s">
        <v>450</v>
      </c>
      <c r="C98" s="15" t="s">
        <v>451</v>
      </c>
      <c r="D98" s="21">
        <v>2220</v>
      </c>
      <c r="E98" s="7">
        <v>2000</v>
      </c>
      <c r="F98" s="7"/>
      <c r="G98" s="7">
        <f t="shared" si="2"/>
        <v>2000</v>
      </c>
      <c r="H98" s="3"/>
      <c r="I98" s="7"/>
      <c r="J98" s="7"/>
      <c r="K98" s="7"/>
      <c r="L98" s="7">
        <v>20688.7</v>
      </c>
      <c r="M98" s="9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>
        <v>6831</v>
      </c>
      <c r="Z98" s="7"/>
      <c r="AA98" s="7"/>
      <c r="AB98" s="7"/>
      <c r="AC98" s="7"/>
      <c r="AD98" s="7"/>
      <c r="AE98" s="7"/>
      <c r="AF98" s="7"/>
      <c r="AG98" s="7">
        <v>35000</v>
      </c>
      <c r="AH98" s="7" t="s">
        <v>540</v>
      </c>
      <c r="AI98" s="7"/>
      <c r="AJ98" s="68"/>
    </row>
    <row r="99" spans="2:39" ht="54.6" customHeight="1" x14ac:dyDescent="0.2">
      <c r="B99" s="13" t="s">
        <v>79</v>
      </c>
      <c r="C99" s="15" t="s">
        <v>80</v>
      </c>
      <c r="D99" s="21">
        <v>2220</v>
      </c>
      <c r="E99" s="7">
        <v>2000</v>
      </c>
      <c r="F99" s="7"/>
      <c r="G99" s="7">
        <f t="shared" si="2"/>
        <v>2000</v>
      </c>
      <c r="H99" s="3"/>
      <c r="I99" s="7"/>
      <c r="J99" s="7"/>
      <c r="K99" s="7"/>
      <c r="L99" s="7"/>
      <c r="M99" s="9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>
        <v>6926</v>
      </c>
      <c r="AB99" s="7"/>
      <c r="AC99" s="7"/>
      <c r="AD99" s="7"/>
      <c r="AE99" s="7"/>
      <c r="AF99" s="7"/>
      <c r="AG99" s="7">
        <v>8000</v>
      </c>
      <c r="AH99" s="7" t="s">
        <v>543</v>
      </c>
      <c r="AI99" s="7"/>
      <c r="AJ99" s="68"/>
    </row>
    <row r="100" spans="2:39" ht="54.6" customHeight="1" x14ac:dyDescent="0.2">
      <c r="B100" s="13" t="s">
        <v>81</v>
      </c>
      <c r="C100" s="15" t="s">
        <v>82</v>
      </c>
      <c r="D100" s="21">
        <v>2220</v>
      </c>
      <c r="E100" s="7">
        <v>60000</v>
      </c>
      <c r="F100" s="7"/>
      <c r="G100" s="7">
        <f t="shared" si="2"/>
        <v>60000</v>
      </c>
      <c r="H100" s="3"/>
      <c r="I100" s="7"/>
      <c r="J100" s="7"/>
      <c r="K100" s="7"/>
      <c r="L100" s="7"/>
      <c r="M100" s="7">
        <v>16000</v>
      </c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>
        <v>-28288.799999999999</v>
      </c>
      <c r="Z100" s="7"/>
      <c r="AA100" s="7">
        <f>-20542.04+3299.99</f>
        <v>-17242.050000000003</v>
      </c>
      <c r="AB100" s="7"/>
      <c r="AC100" s="7"/>
      <c r="AD100" s="7"/>
      <c r="AE100" s="7"/>
      <c r="AF100" s="7"/>
      <c r="AG100" s="7">
        <v>80000</v>
      </c>
      <c r="AH100" s="7" t="s">
        <v>544</v>
      </c>
      <c r="AI100" s="7"/>
      <c r="AJ100" s="68"/>
    </row>
    <row r="101" spans="2:39" ht="54.6" customHeight="1" x14ac:dyDescent="0.2">
      <c r="B101" s="13" t="s">
        <v>452</v>
      </c>
      <c r="C101" s="15" t="s">
        <v>453</v>
      </c>
      <c r="D101" s="21">
        <v>2220</v>
      </c>
      <c r="E101" s="7">
        <v>2000</v>
      </c>
      <c r="F101" s="7"/>
      <c r="G101" s="7">
        <f t="shared" si="2"/>
        <v>2000</v>
      </c>
      <c r="H101" s="3"/>
      <c r="I101" s="7"/>
      <c r="J101" s="7"/>
      <c r="K101" s="7"/>
      <c r="L101" s="7"/>
      <c r="M101" s="9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>
        <v>-1126.9100000000001</v>
      </c>
      <c r="AB101" s="7"/>
      <c r="AC101" s="7"/>
      <c r="AD101" s="7"/>
      <c r="AE101" s="7"/>
      <c r="AF101" s="7"/>
      <c r="AG101" s="7">
        <v>1000</v>
      </c>
      <c r="AH101" s="7"/>
      <c r="AI101" s="7"/>
      <c r="AJ101" s="68"/>
    </row>
    <row r="102" spans="2:39" ht="61.5" customHeight="1" x14ac:dyDescent="0.2">
      <c r="B102" s="13" t="s">
        <v>83</v>
      </c>
      <c r="C102" s="15" t="s">
        <v>84</v>
      </c>
      <c r="D102" s="21">
        <v>2220</v>
      </c>
      <c r="E102" s="7">
        <v>65000</v>
      </c>
      <c r="F102" s="7"/>
      <c r="G102" s="7">
        <f t="shared" si="2"/>
        <v>65000</v>
      </c>
      <c r="H102" s="3"/>
      <c r="I102" s="7"/>
      <c r="J102" s="7">
        <v>-2846</v>
      </c>
      <c r="K102" s="7"/>
      <c r="L102" s="7"/>
      <c r="M102" s="9"/>
      <c r="N102" s="7"/>
      <c r="O102" s="7"/>
      <c r="P102" s="7"/>
      <c r="Q102" s="7"/>
      <c r="R102" s="7"/>
      <c r="S102" s="20" t="s">
        <v>454</v>
      </c>
      <c r="T102" s="7"/>
      <c r="U102" s="7">
        <v>14516.65</v>
      </c>
      <c r="V102" s="7"/>
      <c r="W102" s="7"/>
      <c r="X102" s="7"/>
      <c r="Y102" s="7"/>
      <c r="Z102" s="7"/>
      <c r="AA102" s="7">
        <f>-0.33-10.23-642.02</f>
        <v>-652.57999999999993</v>
      </c>
      <c r="AB102" s="7"/>
      <c r="AC102" s="7"/>
      <c r="AD102" s="7"/>
      <c r="AE102" s="7"/>
      <c r="AF102" s="7"/>
      <c r="AG102" s="7">
        <v>70000</v>
      </c>
      <c r="AH102" s="7"/>
      <c r="AI102" s="7"/>
      <c r="AJ102" s="68"/>
    </row>
    <row r="103" spans="2:39" ht="60" customHeight="1" x14ac:dyDescent="0.2">
      <c r="B103" s="13" t="s">
        <v>85</v>
      </c>
      <c r="C103" s="15" t="s">
        <v>86</v>
      </c>
      <c r="D103" s="21">
        <v>2220</v>
      </c>
      <c r="E103" s="7">
        <v>10200</v>
      </c>
      <c r="F103" s="7"/>
      <c r="G103" s="7">
        <f t="shared" si="2"/>
        <v>10200</v>
      </c>
      <c r="H103" s="3"/>
      <c r="I103" s="7"/>
      <c r="J103" s="7">
        <v>470</v>
      </c>
      <c r="K103" s="7"/>
      <c r="L103" s="7"/>
      <c r="M103" s="9"/>
      <c r="N103" s="7"/>
      <c r="O103" s="7"/>
      <c r="P103" s="7"/>
      <c r="Q103" s="7"/>
      <c r="R103" s="7"/>
      <c r="S103" s="20" t="s">
        <v>455</v>
      </c>
      <c r="T103" s="7"/>
      <c r="U103" s="7">
        <v>8665.98</v>
      </c>
      <c r="V103" s="7"/>
      <c r="W103" s="7"/>
      <c r="X103" s="7"/>
      <c r="Y103" s="7"/>
      <c r="Z103" s="7"/>
      <c r="AA103" s="7">
        <f>244.76-0.45</f>
        <v>244.31</v>
      </c>
      <c r="AB103" s="7"/>
      <c r="AC103" s="7"/>
      <c r="AD103" s="7"/>
      <c r="AE103" s="7"/>
      <c r="AF103" s="7"/>
      <c r="AG103" s="7">
        <v>18000</v>
      </c>
      <c r="AH103" s="7"/>
      <c r="AI103" s="7"/>
      <c r="AJ103" s="68"/>
    </row>
    <row r="104" spans="2:39" ht="54.6" customHeight="1" x14ac:dyDescent="0.2">
      <c r="B104" s="13" t="s">
        <v>87</v>
      </c>
      <c r="C104" s="15" t="s">
        <v>88</v>
      </c>
      <c r="D104" s="21">
        <v>2220</v>
      </c>
      <c r="E104" s="7">
        <v>1500</v>
      </c>
      <c r="F104" s="7"/>
      <c r="G104" s="7">
        <f t="shared" si="2"/>
        <v>1500</v>
      </c>
      <c r="H104" s="3"/>
      <c r="I104" s="7"/>
      <c r="J104" s="7">
        <v>2376</v>
      </c>
      <c r="K104" s="7"/>
      <c r="L104" s="7"/>
      <c r="M104" s="9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>
        <f>-680.38-6.94</f>
        <v>-687.32</v>
      </c>
      <c r="AB104" s="7"/>
      <c r="AC104" s="7"/>
      <c r="AD104" s="7"/>
      <c r="AE104" s="7"/>
      <c r="AF104" s="7"/>
      <c r="AG104" s="7">
        <v>3200</v>
      </c>
      <c r="AH104" s="7"/>
      <c r="AI104" s="7"/>
      <c r="AJ104" s="68"/>
    </row>
    <row r="105" spans="2:39" ht="54.6" customHeight="1" x14ac:dyDescent="0.2">
      <c r="B105" s="13" t="s">
        <v>89</v>
      </c>
      <c r="C105" s="15" t="s">
        <v>90</v>
      </c>
      <c r="D105" s="21">
        <v>2220</v>
      </c>
      <c r="E105" s="7">
        <v>99800</v>
      </c>
      <c r="F105" s="59"/>
      <c r="G105" s="7">
        <f t="shared" si="2"/>
        <v>99800</v>
      </c>
      <c r="H105" s="3"/>
      <c r="I105" s="7"/>
      <c r="J105" s="7"/>
      <c r="K105" s="7"/>
      <c r="L105" s="7"/>
      <c r="M105" s="7">
        <f>-16000+6446.7</f>
        <v>-9553.2999999999993</v>
      </c>
      <c r="N105" s="7">
        <v>-1542</v>
      </c>
      <c r="O105" s="7">
        <v>-1474</v>
      </c>
      <c r="P105" s="7"/>
      <c r="Q105" s="7"/>
      <c r="R105" s="7"/>
      <c r="S105" s="20" t="s">
        <v>456</v>
      </c>
      <c r="T105" s="63">
        <v>1139.44</v>
      </c>
      <c r="U105" s="63">
        <v>3708.14</v>
      </c>
      <c r="V105" s="20"/>
      <c r="W105" s="20"/>
      <c r="X105" s="7"/>
      <c r="Y105" s="7"/>
      <c r="Z105" s="7"/>
      <c r="AA105" s="7">
        <f>-7460.92-3.93+1003.75+6456.7</f>
        <v>-4.4000000000005457</v>
      </c>
      <c r="AB105" s="7"/>
      <c r="AC105" s="7"/>
      <c r="AD105" s="7"/>
      <c r="AE105" s="7"/>
      <c r="AF105" s="7"/>
      <c r="AG105" s="7">
        <v>90000</v>
      </c>
      <c r="AH105" s="7"/>
      <c r="AI105" s="7"/>
      <c r="AJ105" s="68"/>
      <c r="AM105" s="69"/>
    </row>
    <row r="106" spans="2:39" ht="54.6" customHeight="1" x14ac:dyDescent="0.2">
      <c r="B106" s="13" t="s">
        <v>91</v>
      </c>
      <c r="C106" s="15" t="s">
        <v>92</v>
      </c>
      <c r="D106" s="21">
        <v>2220</v>
      </c>
      <c r="E106" s="7">
        <v>36000</v>
      </c>
      <c r="F106" s="7"/>
      <c r="G106" s="7">
        <f t="shared" si="2"/>
        <v>36000</v>
      </c>
      <c r="H106" s="3"/>
      <c r="I106" s="60">
        <v>28293.200000000001</v>
      </c>
      <c r="J106" s="7"/>
      <c r="K106" s="7"/>
      <c r="L106" s="7"/>
      <c r="M106" s="9"/>
      <c r="N106" s="7"/>
      <c r="O106" s="20" t="s">
        <v>458</v>
      </c>
      <c r="P106" s="7"/>
      <c r="Q106" s="7"/>
      <c r="R106" s="20" t="s">
        <v>459</v>
      </c>
      <c r="S106" s="7"/>
      <c r="T106" s="7"/>
      <c r="U106" s="7">
        <v>4522.57</v>
      </c>
      <c r="V106" s="7"/>
      <c r="W106" s="7"/>
      <c r="X106" s="20" t="s">
        <v>460</v>
      </c>
      <c r="Y106" s="7"/>
      <c r="Z106" s="7"/>
      <c r="AA106" s="7">
        <f>-53971.77+769.44-1007.44+53971.22</f>
        <v>-238.54999999999563</v>
      </c>
      <c r="AB106" s="7"/>
      <c r="AC106" s="7"/>
      <c r="AD106" s="7"/>
      <c r="AE106" s="7"/>
      <c r="AF106" s="7"/>
      <c r="AG106" s="7">
        <v>40000</v>
      </c>
      <c r="AH106" s="7"/>
      <c r="AI106" s="7"/>
      <c r="AJ106" s="68"/>
      <c r="AM106" s="69"/>
    </row>
    <row r="107" spans="2:39" s="70" customFormat="1" ht="54.6" customHeight="1" x14ac:dyDescent="0.25">
      <c r="B107" s="13" t="s">
        <v>93</v>
      </c>
      <c r="C107" s="15" t="s">
        <v>94</v>
      </c>
      <c r="D107" s="21">
        <v>2220</v>
      </c>
      <c r="E107" s="7">
        <v>92000</v>
      </c>
      <c r="F107" s="7"/>
      <c r="G107" s="7">
        <f t="shared" si="2"/>
        <v>92000</v>
      </c>
      <c r="H107" s="3"/>
      <c r="I107" s="7"/>
      <c r="J107" s="7"/>
      <c r="K107" s="7"/>
      <c r="L107" s="7"/>
      <c r="M107" s="9"/>
      <c r="N107" s="7"/>
      <c r="O107" s="7"/>
      <c r="P107" s="7"/>
      <c r="Q107" s="7"/>
      <c r="R107" s="7"/>
      <c r="S107" s="7"/>
      <c r="T107" s="63">
        <f>714.23-714.23</f>
        <v>0</v>
      </c>
      <c r="U107" s="7">
        <v>7900.15</v>
      </c>
      <c r="V107" s="7"/>
      <c r="W107" s="7"/>
      <c r="X107" s="7"/>
      <c r="Y107" s="7"/>
      <c r="Z107" s="7"/>
      <c r="AA107" s="7">
        <f>-716.4-1.44+714.23</f>
        <v>-3.6100000000000136</v>
      </c>
      <c r="AB107" s="7"/>
      <c r="AC107" s="7"/>
      <c r="AD107" s="62"/>
      <c r="AE107" s="7"/>
      <c r="AF107" s="7"/>
      <c r="AG107" s="7">
        <v>99000</v>
      </c>
      <c r="AH107" s="7"/>
      <c r="AI107" s="7"/>
      <c r="AJ107" s="68"/>
      <c r="AM107" s="69"/>
    </row>
    <row r="108" spans="2:39" ht="54.6" customHeight="1" x14ac:dyDescent="0.2">
      <c r="B108" s="13" t="s">
        <v>95</v>
      </c>
      <c r="C108" s="15" t="s">
        <v>96</v>
      </c>
      <c r="D108" s="21">
        <v>2220</v>
      </c>
      <c r="E108" s="7">
        <v>45000</v>
      </c>
      <c r="F108" s="7"/>
      <c r="G108" s="7">
        <f t="shared" si="2"/>
        <v>45000</v>
      </c>
      <c r="H108" s="3"/>
      <c r="I108" s="7"/>
      <c r="J108" s="7"/>
      <c r="K108" s="7"/>
      <c r="L108" s="7"/>
      <c r="M108" s="9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>
        <v>-10911.91</v>
      </c>
      <c r="AB108" s="7"/>
      <c r="AC108" s="7"/>
      <c r="AD108" s="7"/>
      <c r="AE108" s="7"/>
      <c r="AF108" s="7"/>
      <c r="AG108" s="7">
        <v>40000</v>
      </c>
      <c r="AH108" s="7"/>
      <c r="AI108" s="7"/>
      <c r="AJ108" s="68"/>
    </row>
    <row r="109" spans="2:39" ht="54.6" customHeight="1" x14ac:dyDescent="0.2">
      <c r="B109" s="19" t="s">
        <v>462</v>
      </c>
      <c r="C109" s="15" t="s">
        <v>463</v>
      </c>
      <c r="D109" s="21">
        <v>2220</v>
      </c>
      <c r="E109" s="7"/>
      <c r="F109" s="7"/>
      <c r="G109" s="7"/>
      <c r="H109" s="3"/>
      <c r="I109" s="7"/>
      <c r="J109" s="7"/>
      <c r="K109" s="7"/>
      <c r="L109" s="7">
        <v>2775</v>
      </c>
      <c r="M109" s="9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>
        <v>3000</v>
      </c>
      <c r="AH109" s="7"/>
      <c r="AI109" s="7"/>
      <c r="AJ109" s="68"/>
    </row>
    <row r="110" spans="2:39" ht="54.6" customHeight="1" x14ac:dyDescent="0.2">
      <c r="B110" s="13" t="s">
        <v>277</v>
      </c>
      <c r="C110" s="15" t="s">
        <v>278</v>
      </c>
      <c r="D110" s="21">
        <v>2220</v>
      </c>
      <c r="E110" s="7">
        <v>30000</v>
      </c>
      <c r="F110" s="7"/>
      <c r="G110" s="7">
        <f t="shared" si="2"/>
        <v>30000</v>
      </c>
      <c r="H110" s="3"/>
      <c r="I110" s="7"/>
      <c r="J110" s="7"/>
      <c r="K110" s="7"/>
      <c r="L110" s="7">
        <v>-220</v>
      </c>
      <c r="M110" s="9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>
        <f>205.44-216.61</f>
        <v>-11.170000000000016</v>
      </c>
      <c r="AB110" s="7"/>
      <c r="AC110" s="7"/>
      <c r="AD110" s="7"/>
      <c r="AE110" s="7"/>
      <c r="AF110" s="7"/>
      <c r="AG110" s="7">
        <v>74000</v>
      </c>
      <c r="AH110" s="7"/>
      <c r="AI110" s="7"/>
      <c r="AJ110" s="68"/>
    </row>
    <row r="111" spans="2:39" ht="54.6" customHeight="1" x14ac:dyDescent="0.2">
      <c r="B111" s="19" t="s">
        <v>464</v>
      </c>
      <c r="C111" s="15" t="s">
        <v>465</v>
      </c>
      <c r="D111" s="21">
        <v>2220</v>
      </c>
      <c r="E111" s="7"/>
      <c r="F111" s="7"/>
      <c r="G111" s="7"/>
      <c r="H111" s="3"/>
      <c r="I111" s="7"/>
      <c r="J111" s="7"/>
      <c r="K111" s="7"/>
      <c r="L111" s="7"/>
      <c r="M111" s="9"/>
      <c r="N111" s="7"/>
      <c r="O111" s="7">
        <v>874</v>
      </c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>
        <v>1000</v>
      </c>
      <c r="AH111" s="7"/>
      <c r="AI111" s="7"/>
      <c r="AJ111" s="68"/>
    </row>
    <row r="112" spans="2:39" ht="54.6" customHeight="1" x14ac:dyDescent="0.2">
      <c r="B112" s="13" t="s">
        <v>288</v>
      </c>
      <c r="C112" s="15" t="s">
        <v>56</v>
      </c>
      <c r="D112" s="21">
        <v>2220</v>
      </c>
      <c r="E112" s="7">
        <v>5000</v>
      </c>
      <c r="F112" s="7"/>
      <c r="G112" s="7">
        <f t="shared" si="2"/>
        <v>5000</v>
      </c>
      <c r="H112" s="3"/>
      <c r="I112" s="7"/>
      <c r="J112" s="7"/>
      <c r="K112" s="7"/>
      <c r="L112" s="8"/>
      <c r="M112" s="9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>
        <v>-4689.7</v>
      </c>
      <c r="AB112" s="7"/>
      <c r="AC112" s="7"/>
      <c r="AD112" s="7"/>
      <c r="AE112" s="7"/>
      <c r="AF112" s="7"/>
      <c r="AG112" s="7">
        <v>300</v>
      </c>
      <c r="AH112" s="7"/>
      <c r="AI112" s="7"/>
      <c r="AJ112" s="68"/>
    </row>
    <row r="113" spans="2:38" ht="54.6" customHeight="1" x14ac:dyDescent="0.2">
      <c r="B113" s="13" t="s">
        <v>97</v>
      </c>
      <c r="C113" s="15" t="s">
        <v>98</v>
      </c>
      <c r="D113" s="21">
        <v>2220</v>
      </c>
      <c r="E113" s="7">
        <v>2000</v>
      </c>
      <c r="F113" s="7"/>
      <c r="G113" s="7">
        <f t="shared" si="2"/>
        <v>2000</v>
      </c>
      <c r="H113" s="3"/>
      <c r="I113" s="7"/>
      <c r="J113" s="7"/>
      <c r="K113" s="7"/>
      <c r="L113" s="7"/>
      <c r="M113" s="9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>
        <v>-2000</v>
      </c>
      <c r="AB113" s="7"/>
      <c r="AC113" s="7"/>
      <c r="AD113" s="7"/>
      <c r="AE113" s="7"/>
      <c r="AF113" s="7"/>
      <c r="AG113" s="7">
        <v>1000</v>
      </c>
      <c r="AH113" s="7"/>
      <c r="AI113" s="7"/>
      <c r="AJ113" s="68"/>
    </row>
    <row r="114" spans="2:38" ht="54.6" customHeight="1" x14ac:dyDescent="0.2">
      <c r="B114" s="13" t="s">
        <v>466</v>
      </c>
      <c r="C114" s="15" t="s">
        <v>467</v>
      </c>
      <c r="D114" s="21">
        <v>2220</v>
      </c>
      <c r="E114" s="7">
        <v>1000</v>
      </c>
      <c r="F114" s="59"/>
      <c r="G114" s="7">
        <f t="shared" si="2"/>
        <v>1000</v>
      </c>
      <c r="H114" s="33"/>
      <c r="I114" s="8"/>
      <c r="J114" s="8"/>
      <c r="K114" s="8"/>
      <c r="L114" s="8">
        <v>483.02</v>
      </c>
      <c r="M114" s="9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>
        <v>-514.44000000000005</v>
      </c>
      <c r="AB114" s="7"/>
      <c r="AC114" s="7"/>
      <c r="AD114" s="7"/>
      <c r="AE114" s="7"/>
      <c r="AF114" s="7"/>
      <c r="AG114" s="7">
        <v>1000</v>
      </c>
      <c r="AH114" s="7"/>
      <c r="AI114" s="7"/>
      <c r="AJ114" s="68"/>
    </row>
    <row r="115" spans="2:38" ht="54.6" customHeight="1" x14ac:dyDescent="0.2">
      <c r="B115" s="13" t="s">
        <v>366</v>
      </c>
      <c r="C115" s="15" t="s">
        <v>367</v>
      </c>
      <c r="D115" s="21">
        <v>2220</v>
      </c>
      <c r="E115" s="7">
        <v>50000</v>
      </c>
      <c r="F115" s="7"/>
      <c r="G115" s="7">
        <f t="shared" si="2"/>
        <v>50000</v>
      </c>
      <c r="H115" s="3"/>
      <c r="I115" s="7"/>
      <c r="J115" s="7"/>
      <c r="K115" s="7"/>
      <c r="L115" s="7">
        <v>-13038.02</v>
      </c>
      <c r="M115" s="9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>
        <v>-1914.75</v>
      </c>
      <c r="AB115" s="7"/>
      <c r="AC115" s="7"/>
      <c r="AD115" s="7"/>
      <c r="AE115" s="7"/>
      <c r="AF115" s="7"/>
      <c r="AG115" s="7">
        <v>50000</v>
      </c>
      <c r="AH115" s="7"/>
      <c r="AI115" s="7"/>
      <c r="AJ115" s="68"/>
    </row>
    <row r="116" spans="2:38" ht="54.6" customHeight="1" x14ac:dyDescent="0.2">
      <c r="B116" s="65" t="s">
        <v>101</v>
      </c>
      <c r="C116" s="7"/>
      <c r="D116" s="21"/>
      <c r="E116" s="60">
        <f t="shared" ref="E116:AA116" si="3">SUM(E82:E115)</f>
        <v>768000</v>
      </c>
      <c r="F116" s="60">
        <f t="shared" si="3"/>
        <v>0</v>
      </c>
      <c r="G116" s="60">
        <f t="shared" si="3"/>
        <v>768000</v>
      </c>
      <c r="H116" s="60">
        <f t="shared" si="3"/>
        <v>0</v>
      </c>
      <c r="I116" s="60">
        <f t="shared" si="3"/>
        <v>28293.200000000001</v>
      </c>
      <c r="J116" s="60">
        <f t="shared" si="3"/>
        <v>0</v>
      </c>
      <c r="K116" s="60">
        <f t="shared" si="3"/>
        <v>0</v>
      </c>
      <c r="L116" s="60">
        <f t="shared" si="3"/>
        <v>0</v>
      </c>
      <c r="M116" s="60">
        <f t="shared" si="3"/>
        <v>6446.7000000000007</v>
      </c>
      <c r="N116" s="60">
        <f t="shared" si="3"/>
        <v>0</v>
      </c>
      <c r="O116" s="60">
        <f t="shared" si="3"/>
        <v>0</v>
      </c>
      <c r="P116" s="60">
        <f t="shared" si="3"/>
        <v>0</v>
      </c>
      <c r="Q116" s="60">
        <f t="shared" si="3"/>
        <v>0</v>
      </c>
      <c r="R116" s="60">
        <f t="shared" si="3"/>
        <v>0</v>
      </c>
      <c r="S116" s="60">
        <f t="shared" si="3"/>
        <v>0</v>
      </c>
      <c r="T116" s="60">
        <f t="shared" si="3"/>
        <v>1139.44</v>
      </c>
      <c r="U116" s="60">
        <f t="shared" si="3"/>
        <v>30000</v>
      </c>
      <c r="V116" s="60">
        <f t="shared" si="3"/>
        <v>0</v>
      </c>
      <c r="W116" s="60">
        <f t="shared" si="3"/>
        <v>0</v>
      </c>
      <c r="X116" s="60">
        <f t="shared" si="3"/>
        <v>0</v>
      </c>
      <c r="Y116" s="60">
        <f t="shared" si="3"/>
        <v>0</v>
      </c>
      <c r="Z116" s="60">
        <f t="shared" si="3"/>
        <v>0</v>
      </c>
      <c r="AA116" s="60">
        <f t="shared" si="3"/>
        <v>11931.569999999987</v>
      </c>
      <c r="AB116" s="7"/>
      <c r="AC116" s="7"/>
      <c r="AD116" s="7"/>
      <c r="AE116" s="7"/>
      <c r="AF116" s="7"/>
      <c r="AG116" s="60">
        <f>SUM(AG82:AG115)</f>
        <v>988000</v>
      </c>
      <c r="AH116" s="60"/>
      <c r="AI116" s="7"/>
      <c r="AJ116" s="71">
        <v>805000</v>
      </c>
      <c r="AL116" s="2"/>
    </row>
    <row r="117" spans="2:38" ht="54.6" customHeight="1" x14ac:dyDescent="0.2">
      <c r="B117" s="13" t="s">
        <v>102</v>
      </c>
      <c r="C117" s="15" t="s">
        <v>103</v>
      </c>
      <c r="D117" s="21">
        <v>2230</v>
      </c>
      <c r="E117" s="7">
        <f>2.75*1800+4000*3.9</f>
        <v>20550</v>
      </c>
      <c r="F117" s="7"/>
      <c r="G117" s="7">
        <f>E117+F117</f>
        <v>20550</v>
      </c>
      <c r="H117" s="3"/>
      <c r="I117" s="7"/>
      <c r="J117" s="7"/>
      <c r="K117" s="7"/>
      <c r="L117" s="8"/>
      <c r="M117" s="8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>
        <v>283.63</v>
      </c>
      <c r="Z117" s="7"/>
      <c r="AA117" s="7"/>
      <c r="AB117" s="7"/>
      <c r="AC117" s="7"/>
      <c r="AD117" s="7"/>
      <c r="AE117" s="7"/>
      <c r="AF117" s="7"/>
      <c r="AG117" s="7">
        <f>22500+2516.4</f>
        <v>25016.400000000001</v>
      </c>
      <c r="AH117" s="7"/>
      <c r="AI117" s="7"/>
      <c r="AJ117" s="66"/>
      <c r="AL117" s="72"/>
    </row>
    <row r="118" spans="2:38" ht="54.6" customHeight="1" x14ac:dyDescent="0.2">
      <c r="B118" s="13" t="s">
        <v>104</v>
      </c>
      <c r="C118" s="15" t="s">
        <v>105</v>
      </c>
      <c r="D118" s="21">
        <v>2230</v>
      </c>
      <c r="E118" s="7">
        <f>4.5*1200+4.5*330+7.3*350+3000*4.5+900*4.5+600*8.5+577.91</f>
        <v>32667.91</v>
      </c>
      <c r="F118" s="7"/>
      <c r="G118" s="7">
        <f t="shared" ref="G118:G142" si="4">E118+F118</f>
        <v>32667.91</v>
      </c>
      <c r="H118" s="3"/>
      <c r="I118" s="7"/>
      <c r="J118" s="7"/>
      <c r="K118" s="7"/>
      <c r="L118" s="8"/>
      <c r="M118" s="8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>
        <v>1892.9</v>
      </c>
      <c r="Z118" s="7"/>
      <c r="AA118" s="7">
        <f>-0.81+9.54</f>
        <v>8.7299999999999986</v>
      </c>
      <c r="AB118" s="7">
        <v>-9.5399999999999991</v>
      </c>
      <c r="AC118" s="7"/>
      <c r="AD118" s="7"/>
      <c r="AE118" s="7"/>
      <c r="AF118" s="7"/>
      <c r="AG118" s="7">
        <f>19200+5850+8640+2434.44+3648.74</f>
        <v>39773.18</v>
      </c>
      <c r="AH118" s="7"/>
      <c r="AI118" s="7"/>
      <c r="AJ118" s="68"/>
      <c r="AL118" s="72"/>
    </row>
    <row r="119" spans="2:38" ht="54.6" customHeight="1" x14ac:dyDescent="0.2">
      <c r="B119" s="13" t="s">
        <v>106</v>
      </c>
      <c r="C119" s="15" t="s">
        <v>107</v>
      </c>
      <c r="D119" s="21">
        <v>2230</v>
      </c>
      <c r="E119" s="7">
        <v>50000</v>
      </c>
      <c r="F119" s="7"/>
      <c r="G119" s="7">
        <f t="shared" si="4"/>
        <v>50000</v>
      </c>
      <c r="H119" s="7"/>
      <c r="I119" s="7"/>
      <c r="J119" s="7"/>
      <c r="K119" s="9"/>
      <c r="L119" s="8"/>
      <c r="M119" s="8"/>
      <c r="N119" s="7"/>
      <c r="O119" s="7"/>
      <c r="P119" s="7"/>
      <c r="Q119" s="7"/>
      <c r="R119" s="20"/>
      <c r="S119" s="20" t="s">
        <v>470</v>
      </c>
      <c r="T119" s="7"/>
      <c r="U119" s="7">
        <v>1679.8</v>
      </c>
      <c r="V119" s="7"/>
      <c r="W119" s="7"/>
      <c r="X119" s="7"/>
      <c r="Y119" s="7">
        <v>-5721.4</v>
      </c>
      <c r="Z119" s="7">
        <v>-260</v>
      </c>
      <c r="AA119" s="7">
        <f>4360-507.2</f>
        <v>3852.8</v>
      </c>
      <c r="AB119" s="7"/>
      <c r="AC119" s="7"/>
      <c r="AD119" s="7"/>
      <c r="AE119" s="7"/>
      <c r="AF119" s="7"/>
      <c r="AG119" s="7">
        <f>56250</f>
        <v>56250</v>
      </c>
      <c r="AH119" s="7"/>
      <c r="AI119" s="7"/>
      <c r="AJ119" s="68"/>
      <c r="AL119" s="72"/>
    </row>
    <row r="120" spans="2:38" ht="54.6" customHeight="1" x14ac:dyDescent="0.2">
      <c r="B120" s="13" t="s">
        <v>110</v>
      </c>
      <c r="C120" s="15" t="s">
        <v>111</v>
      </c>
      <c r="D120" s="21">
        <v>2230</v>
      </c>
      <c r="E120" s="7">
        <f>1.15*12000+43200*1.15</f>
        <v>63479.999999999993</v>
      </c>
      <c r="F120" s="7"/>
      <c r="G120" s="7">
        <f t="shared" si="4"/>
        <v>63479.999999999993</v>
      </c>
      <c r="H120" s="3"/>
      <c r="I120" s="7"/>
      <c r="J120" s="7"/>
      <c r="K120" s="7"/>
      <c r="L120" s="8"/>
      <c r="M120" s="8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>
        <v>-18518.52</v>
      </c>
      <c r="Z120" s="7"/>
      <c r="AA120" s="7"/>
      <c r="AB120" s="7">
        <v>-1.28</v>
      </c>
      <c r="AC120" s="7"/>
      <c r="AD120" s="7"/>
      <c r="AE120" s="7"/>
      <c r="AF120" s="7"/>
      <c r="AG120" s="7">
        <f>39200+6912</f>
        <v>46112</v>
      </c>
      <c r="AH120" s="7"/>
      <c r="AI120" s="7"/>
      <c r="AJ120" s="68"/>
      <c r="AL120" s="72"/>
    </row>
    <row r="121" spans="2:38" ht="54.6" customHeight="1" x14ac:dyDescent="0.2">
      <c r="B121" s="13" t="s">
        <v>112</v>
      </c>
      <c r="C121" s="15" t="s">
        <v>113</v>
      </c>
      <c r="D121" s="21">
        <v>2230</v>
      </c>
      <c r="E121" s="7">
        <f>24.5*1800+2277*24.5</f>
        <v>99886.5</v>
      </c>
      <c r="F121" s="7"/>
      <c r="G121" s="7">
        <f t="shared" si="4"/>
        <v>99886.5</v>
      </c>
      <c r="H121" s="3"/>
      <c r="I121" s="7"/>
      <c r="J121" s="7"/>
      <c r="K121" s="7"/>
      <c r="L121" s="8"/>
      <c r="M121" s="8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>
        <v>-3.31</v>
      </c>
      <c r="Z121" s="7"/>
      <c r="AA121" s="7"/>
      <c r="AB121" s="7"/>
      <c r="AC121" s="7"/>
      <c r="AD121" s="7"/>
      <c r="AE121" s="7"/>
      <c r="AF121" s="7"/>
      <c r="AG121" s="7">
        <f>76650+14831.78</f>
        <v>91481.78</v>
      </c>
      <c r="AH121" s="7"/>
      <c r="AI121" s="7"/>
      <c r="AJ121" s="68"/>
      <c r="AL121" s="72"/>
    </row>
    <row r="122" spans="2:38" ht="58.15" customHeight="1" x14ac:dyDescent="0.2">
      <c r="B122" s="13" t="s">
        <v>114</v>
      </c>
      <c r="C122" s="15" t="s">
        <v>115</v>
      </c>
      <c r="D122" s="21">
        <v>2230</v>
      </c>
      <c r="E122" s="7">
        <f>29.5*1000+900*34.5</f>
        <v>60550</v>
      </c>
      <c r="F122" s="7"/>
      <c r="G122" s="7">
        <f t="shared" si="4"/>
        <v>60550</v>
      </c>
      <c r="H122" s="3"/>
      <c r="I122" s="7"/>
      <c r="J122" s="7"/>
      <c r="K122" s="7"/>
      <c r="L122" s="8"/>
      <c r="M122" s="8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>
        <v>25378</v>
      </c>
      <c r="Z122" s="7"/>
      <c r="AA122" s="7"/>
      <c r="AB122" s="7"/>
      <c r="AC122" s="7">
        <f>--129.05-17959</f>
        <v>-17829.95</v>
      </c>
      <c r="AD122" s="7">
        <v>17700.900000000001</v>
      </c>
      <c r="AE122" s="7"/>
      <c r="AF122" s="7"/>
      <c r="AG122" s="7">
        <f>35700+26792+9578</f>
        <v>72070</v>
      </c>
      <c r="AH122" s="7"/>
      <c r="AI122" s="7"/>
      <c r="AJ122" s="68"/>
      <c r="AL122" s="72"/>
    </row>
    <row r="123" spans="2:38" ht="54.6" customHeight="1" x14ac:dyDescent="0.2">
      <c r="B123" s="13" t="s">
        <v>474</v>
      </c>
      <c r="C123" s="15" t="s">
        <v>475</v>
      </c>
      <c r="D123" s="21">
        <v>2230</v>
      </c>
      <c r="E123" s="7">
        <f>265*8.75+300*8.75</f>
        <v>4943.75</v>
      </c>
      <c r="F123" s="7"/>
      <c r="G123" s="7">
        <f t="shared" si="4"/>
        <v>4943.75</v>
      </c>
      <c r="H123" s="3"/>
      <c r="I123" s="7"/>
      <c r="J123" s="7"/>
      <c r="K123" s="7"/>
      <c r="L123" s="8"/>
      <c r="M123" s="8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>
        <v>-3193.75</v>
      </c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68"/>
      <c r="AL123" s="72"/>
    </row>
    <row r="124" spans="2:38" ht="54.6" customHeight="1" x14ac:dyDescent="0.2">
      <c r="B124" s="13" t="s">
        <v>116</v>
      </c>
      <c r="C124" s="15" t="s">
        <v>117</v>
      </c>
      <c r="D124" s="21">
        <v>2230</v>
      </c>
      <c r="E124" s="7">
        <f>60*28.6+223*18+50*21.4+100*21.4</f>
        <v>8940</v>
      </c>
      <c r="F124" s="7"/>
      <c r="G124" s="7">
        <f t="shared" si="4"/>
        <v>8940</v>
      </c>
      <c r="H124" s="3"/>
      <c r="I124" s="7"/>
      <c r="J124" s="7"/>
      <c r="K124" s="7"/>
      <c r="L124" s="8"/>
      <c r="M124" s="8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>
        <v>-26.2</v>
      </c>
      <c r="Z124" s="7"/>
      <c r="AA124" s="7"/>
      <c r="AB124" s="7"/>
      <c r="AC124" s="7"/>
      <c r="AD124" s="7"/>
      <c r="AE124" s="7"/>
      <c r="AF124" s="7"/>
      <c r="AG124" s="7">
        <f>9800+712.32</f>
        <v>10512.32</v>
      </c>
      <c r="AH124" s="7"/>
      <c r="AI124" s="7"/>
      <c r="AJ124" s="68"/>
      <c r="AL124" s="72"/>
    </row>
    <row r="125" spans="2:38" ht="54.6" customHeight="1" x14ac:dyDescent="0.2">
      <c r="B125" s="13" t="s">
        <v>118</v>
      </c>
      <c r="C125" s="15" t="s">
        <v>119</v>
      </c>
      <c r="D125" s="21">
        <v>2230</v>
      </c>
      <c r="E125" s="7">
        <f>287*19+80*9.7+200*21.5</f>
        <v>10529</v>
      </c>
      <c r="F125" s="7"/>
      <c r="G125" s="7">
        <f t="shared" si="4"/>
        <v>10529</v>
      </c>
      <c r="H125" s="3"/>
      <c r="I125" s="7"/>
      <c r="J125" s="7"/>
      <c r="K125" s="7"/>
      <c r="L125" s="8"/>
      <c r="M125" s="8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>
        <v>-124.5</v>
      </c>
      <c r="Z125" s="7"/>
      <c r="AA125" s="7">
        <v>525</v>
      </c>
      <c r="AB125" s="7"/>
      <c r="AC125" s="7"/>
      <c r="AD125" s="7"/>
      <c r="AE125" s="7"/>
      <c r="AF125" s="7"/>
      <c r="AG125" s="7">
        <f>460+900</f>
        <v>1360</v>
      </c>
      <c r="AH125" s="7"/>
      <c r="AI125" s="7"/>
      <c r="AJ125" s="68"/>
      <c r="AL125" s="72"/>
    </row>
    <row r="126" spans="2:38" ht="54.6" customHeight="1" x14ac:dyDescent="0.2">
      <c r="B126" s="13" t="s">
        <v>120</v>
      </c>
      <c r="C126" s="15" t="s">
        <v>121</v>
      </c>
      <c r="D126" s="21">
        <v>2230</v>
      </c>
      <c r="E126" s="7">
        <f>536*16.6+1300*17.3</f>
        <v>31387.599999999999</v>
      </c>
      <c r="F126" s="7"/>
      <c r="G126" s="7">
        <f t="shared" si="4"/>
        <v>31387.599999999999</v>
      </c>
      <c r="H126" s="3"/>
      <c r="I126" s="7"/>
      <c r="J126" s="7"/>
      <c r="K126" s="7"/>
      <c r="L126" s="8"/>
      <c r="M126" s="8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63">
        <v>-4.9000000000000004</v>
      </c>
      <c r="Z126" s="7"/>
      <c r="AA126" s="7">
        <v>-1.43</v>
      </c>
      <c r="AB126" s="7"/>
      <c r="AC126" s="7"/>
      <c r="AD126" s="7"/>
      <c r="AE126" s="7"/>
      <c r="AF126" s="7"/>
      <c r="AG126" s="7">
        <f>32352+3326.4</f>
        <v>35678.400000000001</v>
      </c>
      <c r="AH126" s="7"/>
      <c r="AI126" s="7"/>
      <c r="AJ126" s="68"/>
      <c r="AL126" s="72"/>
    </row>
    <row r="127" spans="2:38" ht="54.6" customHeight="1" x14ac:dyDescent="0.2">
      <c r="B127" s="13" t="s">
        <v>108</v>
      </c>
      <c r="C127" s="15" t="s">
        <v>109</v>
      </c>
      <c r="D127" s="21">
        <v>2230</v>
      </c>
      <c r="E127" s="7">
        <f>5.1*2177.922+608*5+6380*5.3</f>
        <v>47961.402199999997</v>
      </c>
      <c r="F127" s="7"/>
      <c r="G127" s="7">
        <f>E127+F127</f>
        <v>47961.402199999997</v>
      </c>
      <c r="H127" s="3"/>
      <c r="I127" s="7"/>
      <c r="J127" s="7"/>
      <c r="K127" s="7"/>
      <c r="L127" s="8"/>
      <c r="M127" s="8"/>
      <c r="N127" s="7"/>
      <c r="O127" s="7"/>
      <c r="P127" s="7"/>
      <c r="Q127" s="7"/>
      <c r="R127" s="7"/>
      <c r="S127" s="20" t="s">
        <v>473</v>
      </c>
      <c r="T127" s="7"/>
      <c r="U127" s="7"/>
      <c r="V127" s="7"/>
      <c r="W127" s="7"/>
      <c r="X127" s="7"/>
      <c r="Y127" s="7">
        <v>-6156</v>
      </c>
      <c r="Z127" s="7"/>
      <c r="AA127" s="7">
        <v>-4370</v>
      </c>
      <c r="AB127" s="7"/>
      <c r="AC127" s="7"/>
      <c r="AD127" s="7"/>
      <c r="AE127" s="7"/>
      <c r="AF127" s="7"/>
      <c r="AG127" s="7">
        <f>18000+1620+720</f>
        <v>20340</v>
      </c>
      <c r="AH127" s="7"/>
      <c r="AI127" s="7"/>
      <c r="AJ127" s="68"/>
      <c r="AL127" s="72"/>
    </row>
    <row r="128" spans="2:38" ht="54.6" customHeight="1" x14ac:dyDescent="0.2">
      <c r="B128" s="13" t="s">
        <v>478</v>
      </c>
      <c r="C128" s="15" t="s">
        <v>479</v>
      </c>
      <c r="D128" s="21">
        <v>2230</v>
      </c>
      <c r="E128" s="7">
        <v>3920</v>
      </c>
      <c r="F128" s="7"/>
      <c r="G128" s="7">
        <f>E128+F128</f>
        <v>3920</v>
      </c>
      <c r="H128" s="7"/>
      <c r="I128" s="7"/>
      <c r="J128" s="7"/>
      <c r="K128" s="9"/>
      <c r="L128" s="8"/>
      <c r="M128" s="8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63">
        <v>-2800</v>
      </c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68"/>
      <c r="AL128" s="72"/>
    </row>
    <row r="129" spans="2:38" ht="54.6" customHeight="1" x14ac:dyDescent="0.2">
      <c r="B129" s="13" t="s">
        <v>122</v>
      </c>
      <c r="C129" s="15" t="s">
        <v>123</v>
      </c>
      <c r="D129" s="21">
        <v>2230</v>
      </c>
      <c r="E129" s="7">
        <f>415*10.49+800*11.6</f>
        <v>13633.35</v>
      </c>
      <c r="F129" s="7"/>
      <c r="G129" s="7">
        <f t="shared" si="4"/>
        <v>13633.35</v>
      </c>
      <c r="H129" s="3"/>
      <c r="I129" s="7"/>
      <c r="J129" s="7"/>
      <c r="K129" s="7"/>
      <c r="L129" s="8"/>
      <c r="M129" s="8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>
        <v>-13.9</v>
      </c>
      <c r="Z129" s="7"/>
      <c r="AA129" s="7">
        <f>0.5-13.5</f>
        <v>-13</v>
      </c>
      <c r="AB129" s="7"/>
      <c r="AC129" s="7"/>
      <c r="AD129" s="7"/>
      <c r="AE129" s="7"/>
      <c r="AF129" s="7"/>
      <c r="AG129" s="7">
        <f>14840+2120</f>
        <v>16960</v>
      </c>
      <c r="AH129" s="7"/>
      <c r="AI129" s="7"/>
      <c r="AJ129" s="68"/>
      <c r="AL129" s="72"/>
    </row>
    <row r="130" spans="2:38" ht="54.6" customHeight="1" x14ac:dyDescent="0.2">
      <c r="B130" s="13" t="s">
        <v>124</v>
      </c>
      <c r="C130" s="15" t="s">
        <v>125</v>
      </c>
      <c r="D130" s="21">
        <v>2230</v>
      </c>
      <c r="E130" s="7">
        <f>4.5*300+800*5</f>
        <v>5350</v>
      </c>
      <c r="F130" s="7"/>
      <c r="G130" s="7">
        <f t="shared" si="4"/>
        <v>5350</v>
      </c>
      <c r="H130" s="3"/>
      <c r="I130" s="7"/>
      <c r="J130" s="7"/>
      <c r="K130" s="7"/>
      <c r="L130" s="8"/>
      <c r="M130" s="8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>
        <f>7150+650</f>
        <v>7800</v>
      </c>
      <c r="AH130" s="7"/>
      <c r="AI130" s="7"/>
      <c r="AJ130" s="68"/>
      <c r="AL130" s="72"/>
    </row>
    <row r="131" spans="2:38" ht="54.6" customHeight="1" x14ac:dyDescent="0.2">
      <c r="B131" s="13" t="s">
        <v>126</v>
      </c>
      <c r="C131" s="15" t="s">
        <v>127</v>
      </c>
      <c r="D131" s="21">
        <v>2230</v>
      </c>
      <c r="E131" s="7">
        <f>200*4.25+100*5.5+400*8.48+343*19.5+300*8.9+350*6.7+1500*10.9+100*20.5+800*9.8</f>
        <v>42735.5</v>
      </c>
      <c r="F131" s="7"/>
      <c r="G131" s="7">
        <f t="shared" si="4"/>
        <v>42735.5</v>
      </c>
      <c r="H131" s="3"/>
      <c r="I131" s="7"/>
      <c r="J131" s="7"/>
      <c r="K131" s="7"/>
      <c r="L131" s="8"/>
      <c r="M131" s="8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>
        <v>8554</v>
      </c>
      <c r="Z131" s="7"/>
      <c r="AA131" s="7">
        <f>0.5</f>
        <v>0.5</v>
      </c>
      <c r="AB131" s="7"/>
      <c r="AC131" s="7"/>
      <c r="AD131" s="7"/>
      <c r="AE131" s="7"/>
      <c r="AF131" s="7"/>
      <c r="AG131" s="7">
        <f>4320+3240+19800+9450+3600+525+525+6870</f>
        <v>48330</v>
      </c>
      <c r="AH131" s="7"/>
      <c r="AI131" s="7"/>
      <c r="AJ131" s="68"/>
      <c r="AL131" s="72"/>
    </row>
    <row r="132" spans="2:38" ht="54.6" customHeight="1" x14ac:dyDescent="0.2">
      <c r="B132" s="13" t="s">
        <v>480</v>
      </c>
      <c r="C132" s="15" t="s">
        <v>481</v>
      </c>
      <c r="D132" s="21">
        <v>2230</v>
      </c>
      <c r="E132" s="7">
        <f>21*50</f>
        <v>1050</v>
      </c>
      <c r="F132" s="7"/>
      <c r="G132" s="7">
        <f t="shared" si="4"/>
        <v>1050</v>
      </c>
      <c r="H132" s="3"/>
      <c r="I132" s="7"/>
      <c r="J132" s="7"/>
      <c r="K132" s="7"/>
      <c r="L132" s="8"/>
      <c r="M132" s="8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>
        <v>-210</v>
      </c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68"/>
      <c r="AL132" s="72"/>
    </row>
    <row r="133" spans="2:38" ht="46.9" customHeight="1" x14ac:dyDescent="0.2">
      <c r="B133" s="13" t="s">
        <v>128</v>
      </c>
      <c r="C133" s="15" t="s">
        <v>129</v>
      </c>
      <c r="D133" s="21">
        <v>2230</v>
      </c>
      <c r="E133" s="7">
        <f>5.65*3600+5.48*810-3920+6954.75*5.65+1963.5*5.9</f>
        <v>71737.787500000006</v>
      </c>
      <c r="F133" s="7"/>
      <c r="G133" s="7">
        <f t="shared" si="4"/>
        <v>71737.787500000006</v>
      </c>
      <c r="H133" s="3"/>
      <c r="I133" s="7"/>
      <c r="J133" s="7"/>
      <c r="K133" s="7"/>
      <c r="L133" s="8"/>
      <c r="M133" s="8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>
        <v>10.82</v>
      </c>
      <c r="AC133" s="7">
        <v>-18891.25</v>
      </c>
      <c r="AD133" s="7">
        <f>139.87+18880.43</f>
        <v>19020.3</v>
      </c>
      <c r="AE133" s="7"/>
      <c r="AF133" s="7"/>
      <c r="AG133" s="7">
        <f>74252+16864+8734.3</f>
        <v>99850.3</v>
      </c>
      <c r="AH133" s="7"/>
      <c r="AI133" s="7"/>
      <c r="AJ133" s="68"/>
      <c r="AL133" s="72"/>
    </row>
    <row r="134" spans="2:38" ht="54.6" customHeight="1" x14ac:dyDescent="0.2">
      <c r="B134" s="13" t="s">
        <v>482</v>
      </c>
      <c r="C134" s="15" t="s">
        <v>483</v>
      </c>
      <c r="D134" s="21">
        <v>2230</v>
      </c>
      <c r="E134" s="7">
        <f>150*7</f>
        <v>1050</v>
      </c>
      <c r="F134" s="7"/>
      <c r="G134" s="7">
        <f t="shared" si="4"/>
        <v>1050</v>
      </c>
      <c r="H134" s="7"/>
      <c r="I134" s="7"/>
      <c r="J134" s="7"/>
      <c r="K134" s="9"/>
      <c r="L134" s="8"/>
      <c r="M134" s="8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>
        <v>-3</v>
      </c>
      <c r="Z134" s="7"/>
      <c r="AA134" s="7"/>
      <c r="AB134" s="7"/>
      <c r="AC134" s="7"/>
      <c r="AD134" s="7"/>
      <c r="AE134" s="7"/>
      <c r="AF134" s="7"/>
      <c r="AG134" s="7">
        <f>1800</f>
        <v>1800</v>
      </c>
      <c r="AH134" s="7"/>
      <c r="AI134" s="7"/>
      <c r="AJ134" s="68"/>
      <c r="AL134" s="72"/>
    </row>
    <row r="135" spans="2:38" ht="54.6" customHeight="1" x14ac:dyDescent="0.2">
      <c r="B135" s="13" t="s">
        <v>130</v>
      </c>
      <c r="C135" s="15" t="s">
        <v>131</v>
      </c>
      <c r="D135" s="21">
        <v>2230</v>
      </c>
      <c r="E135" s="7">
        <f>313.542*9.6+2000*9.75</f>
        <v>22510.003199999999</v>
      </c>
      <c r="F135" s="7"/>
      <c r="G135" s="7">
        <f t="shared" si="4"/>
        <v>22510.003199999999</v>
      </c>
      <c r="H135" s="3"/>
      <c r="I135" s="7"/>
      <c r="J135" s="7"/>
      <c r="K135" s="7"/>
      <c r="L135" s="8"/>
      <c r="M135" s="8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>
        <v>-200.5</v>
      </c>
      <c r="Z135" s="7"/>
      <c r="AA135" s="7"/>
      <c r="AB135" s="7"/>
      <c r="AC135" s="7"/>
      <c r="AD135" s="7"/>
      <c r="AE135" s="7"/>
      <c r="AF135" s="7"/>
      <c r="AG135" s="7">
        <f>15750+3360</f>
        <v>19110</v>
      </c>
      <c r="AH135" s="7"/>
      <c r="AI135" s="7"/>
      <c r="AJ135" s="68"/>
      <c r="AL135" s="72"/>
    </row>
    <row r="136" spans="2:38" ht="54.6" customHeight="1" x14ac:dyDescent="0.2">
      <c r="B136" s="13" t="s">
        <v>132</v>
      </c>
      <c r="C136" s="15" t="s">
        <v>133</v>
      </c>
      <c r="D136" s="21">
        <v>2230</v>
      </c>
      <c r="E136" s="7">
        <f>1*73.75+7*65</f>
        <v>528.75</v>
      </c>
      <c r="F136" s="7"/>
      <c r="G136" s="7">
        <f t="shared" si="4"/>
        <v>528.75</v>
      </c>
      <c r="H136" s="3"/>
      <c r="I136" s="7"/>
      <c r="J136" s="7"/>
      <c r="K136" s="7"/>
      <c r="L136" s="8"/>
      <c r="M136" s="8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>
        <v>260</v>
      </c>
      <c r="AA136" s="7">
        <v>-2.6</v>
      </c>
      <c r="AB136" s="7"/>
      <c r="AC136" s="7"/>
      <c r="AD136" s="7"/>
      <c r="AE136" s="7"/>
      <c r="AF136" s="7"/>
      <c r="AG136" s="7">
        <f>1586</f>
        <v>1586</v>
      </c>
      <c r="AH136" s="7"/>
      <c r="AI136" s="7"/>
      <c r="AJ136" s="68"/>
      <c r="AL136" s="72"/>
    </row>
    <row r="137" spans="2:38" ht="54.6" customHeight="1" x14ac:dyDescent="0.2">
      <c r="B137" s="13" t="s">
        <v>134</v>
      </c>
      <c r="C137" s="15" t="s">
        <v>135</v>
      </c>
      <c r="D137" s="21">
        <v>2230</v>
      </c>
      <c r="E137" s="7">
        <f>50*3.2+100*24+104*3.45</f>
        <v>2918.8</v>
      </c>
      <c r="F137" s="7"/>
      <c r="G137" s="7">
        <f t="shared" si="4"/>
        <v>2918.8</v>
      </c>
      <c r="H137" s="3"/>
      <c r="I137" s="7"/>
      <c r="J137" s="7"/>
      <c r="K137" s="7"/>
      <c r="L137" s="8"/>
      <c r="M137" s="8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>
        <v>-3.4</v>
      </c>
      <c r="Z137" s="7"/>
      <c r="AA137" s="7"/>
      <c r="AB137" s="7"/>
      <c r="AC137" s="7"/>
      <c r="AD137" s="7"/>
      <c r="AE137" s="7"/>
      <c r="AF137" s="7"/>
      <c r="AG137" s="7">
        <f>624+760+133.12</f>
        <v>1517.12</v>
      </c>
      <c r="AH137" s="7"/>
      <c r="AI137" s="7"/>
      <c r="AJ137" s="68"/>
      <c r="AL137" s="73"/>
    </row>
    <row r="138" spans="2:38" ht="54.6" customHeight="1" x14ac:dyDescent="0.2">
      <c r="B138" s="13" t="s">
        <v>136</v>
      </c>
      <c r="C138" s="15" t="s">
        <v>137</v>
      </c>
      <c r="D138" s="21">
        <v>2230</v>
      </c>
      <c r="E138" s="7">
        <f>84*1</f>
        <v>84</v>
      </c>
      <c r="F138" s="7"/>
      <c r="G138" s="7">
        <f t="shared" si="4"/>
        <v>84</v>
      </c>
      <c r="H138" s="3"/>
      <c r="I138" s="7"/>
      <c r="J138" s="7"/>
      <c r="K138" s="7"/>
      <c r="L138" s="8"/>
      <c r="M138" s="8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>
        <f>50+100</f>
        <v>150</v>
      </c>
      <c r="AH138" s="7"/>
      <c r="AI138" s="7"/>
      <c r="AJ138" s="68"/>
    </row>
    <row r="139" spans="2:38" ht="54.6" customHeight="1" x14ac:dyDescent="0.2">
      <c r="B139" s="13" t="s">
        <v>138</v>
      </c>
      <c r="C139" s="15" t="s">
        <v>139</v>
      </c>
      <c r="D139" s="21">
        <v>2230</v>
      </c>
      <c r="E139" s="7">
        <f>2.2*50+500*2.5</f>
        <v>1360</v>
      </c>
      <c r="F139" s="7"/>
      <c r="G139" s="7">
        <f t="shared" si="4"/>
        <v>1360</v>
      </c>
      <c r="H139" s="3"/>
      <c r="I139" s="7"/>
      <c r="J139" s="7"/>
      <c r="K139" s="7"/>
      <c r="L139" s="8"/>
      <c r="M139" s="8"/>
      <c r="N139" s="7"/>
      <c r="O139" s="7"/>
      <c r="P139" s="7"/>
      <c r="Q139" s="7"/>
      <c r="R139" s="7"/>
      <c r="S139" s="7"/>
      <c r="T139" s="7"/>
      <c r="U139" s="7">
        <v>-610</v>
      </c>
      <c r="V139" s="7"/>
      <c r="W139" s="7"/>
      <c r="X139" s="7"/>
      <c r="Y139" s="7">
        <v>305</v>
      </c>
      <c r="Z139" s="7"/>
      <c r="AA139" s="7"/>
      <c r="AB139" s="7"/>
      <c r="AC139" s="7"/>
      <c r="AD139" s="7"/>
      <c r="AE139" s="7"/>
      <c r="AF139" s="7"/>
      <c r="AG139" s="7">
        <f>1550+187.5</f>
        <v>1737.5</v>
      </c>
      <c r="AH139" s="7"/>
      <c r="AI139" s="7"/>
      <c r="AJ139" s="68"/>
    </row>
    <row r="140" spans="2:38" ht="62.45" customHeight="1" x14ac:dyDescent="0.2">
      <c r="B140" s="13" t="s">
        <v>485</v>
      </c>
      <c r="C140" s="15" t="s">
        <v>486</v>
      </c>
      <c r="D140" s="21">
        <v>2230</v>
      </c>
      <c r="E140" s="7"/>
      <c r="F140" s="7">
        <v>74054.25</v>
      </c>
      <c r="G140" s="7">
        <f t="shared" si="4"/>
        <v>74054.25</v>
      </c>
      <c r="H140" s="7"/>
      <c r="I140" s="7"/>
      <c r="J140" s="7"/>
      <c r="K140" s="9"/>
      <c r="L140" s="8"/>
      <c r="M140" s="8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>
        <v>66004.5</v>
      </c>
      <c r="AH140" s="7"/>
      <c r="AI140" s="7"/>
      <c r="AJ140" s="68"/>
    </row>
    <row r="141" spans="2:38" ht="54.6" customHeight="1" x14ac:dyDescent="0.2">
      <c r="B141" s="13" t="s">
        <v>140</v>
      </c>
      <c r="C141" s="15" t="s">
        <v>141</v>
      </c>
      <c r="D141" s="21">
        <v>2230</v>
      </c>
      <c r="E141" s="7">
        <f>3*7.95+14*8</f>
        <v>135.85</v>
      </c>
      <c r="F141" s="7"/>
      <c r="G141" s="7">
        <f t="shared" si="4"/>
        <v>135.85</v>
      </c>
      <c r="H141" s="3"/>
      <c r="I141" s="7"/>
      <c r="J141" s="7"/>
      <c r="K141" s="7"/>
      <c r="L141" s="8"/>
      <c r="M141" s="8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>
        <v>37.85</v>
      </c>
      <c r="Z141" s="7"/>
      <c r="AA141" s="7"/>
      <c r="AB141" s="7"/>
      <c r="AC141" s="7"/>
      <c r="AD141" s="7"/>
      <c r="AE141" s="7"/>
      <c r="AF141" s="7"/>
      <c r="AG141" s="7">
        <f>190+19</f>
        <v>209</v>
      </c>
      <c r="AH141" s="7"/>
      <c r="AI141" s="7"/>
      <c r="AJ141" s="68"/>
    </row>
    <row r="142" spans="2:38" ht="54.6" customHeight="1" x14ac:dyDescent="0.2">
      <c r="B142" s="13" t="s">
        <v>142</v>
      </c>
      <c r="C142" s="15" t="s">
        <v>143</v>
      </c>
      <c r="D142" s="21">
        <v>2230</v>
      </c>
      <c r="E142" s="7">
        <f>10.8*60+133.5*10.8</f>
        <v>2089.8000000000002</v>
      </c>
      <c r="F142" s="7"/>
      <c r="G142" s="7">
        <f t="shared" si="4"/>
        <v>2089.8000000000002</v>
      </c>
      <c r="H142" s="3"/>
      <c r="I142" s="7"/>
      <c r="J142" s="7"/>
      <c r="K142" s="7"/>
      <c r="L142" s="8"/>
      <c r="M142" s="8"/>
      <c r="N142" s="7"/>
      <c r="O142" s="7"/>
      <c r="P142" s="7"/>
      <c r="Q142" s="7"/>
      <c r="R142" s="7"/>
      <c r="S142" s="7"/>
      <c r="T142" s="7"/>
      <c r="U142" s="7">
        <v>-1069.8</v>
      </c>
      <c r="V142" s="7"/>
      <c r="W142" s="7"/>
      <c r="X142" s="7"/>
      <c r="Y142" s="7">
        <v>528</v>
      </c>
      <c r="Z142" s="7"/>
      <c r="AA142" s="7"/>
      <c r="AB142" s="7"/>
      <c r="AC142" s="7"/>
      <c r="AD142" s="7"/>
      <c r="AE142" s="7"/>
      <c r="AF142" s="7"/>
      <c r="AG142" s="7">
        <f>1600+756</f>
        <v>2356</v>
      </c>
      <c r="AH142" s="7"/>
      <c r="AI142" s="7"/>
      <c r="AJ142" s="68"/>
    </row>
    <row r="143" spans="2:38" ht="64.5" customHeight="1" x14ac:dyDescent="0.2">
      <c r="B143" s="65" t="s">
        <v>144</v>
      </c>
      <c r="C143" s="15"/>
      <c r="D143" s="21"/>
      <c r="E143" s="60">
        <v>600000</v>
      </c>
      <c r="F143" s="60">
        <f>74054.25</f>
        <v>74054.25</v>
      </c>
      <c r="G143" s="60">
        <f>SUM(G117:G142)</f>
        <v>674054.25290000008</v>
      </c>
      <c r="H143" s="3"/>
      <c r="I143" s="7"/>
      <c r="J143" s="7"/>
      <c r="K143" s="7"/>
      <c r="L143" s="8"/>
      <c r="M143" s="8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60">
        <f>SUM(AG117:AG142)</f>
        <v>666004.5</v>
      </c>
      <c r="AH143" s="7"/>
      <c r="AI143" s="7"/>
      <c r="AJ143" s="66" t="s">
        <v>539</v>
      </c>
      <c r="AK143" s="69">
        <f>AG143-66004.5</f>
        <v>600000</v>
      </c>
    </row>
    <row r="144" spans="2:38" ht="54.6" customHeight="1" x14ac:dyDescent="0.2">
      <c r="B144" s="13" t="s">
        <v>488</v>
      </c>
      <c r="C144" s="15" t="s">
        <v>489</v>
      </c>
      <c r="D144" s="21">
        <v>2240</v>
      </c>
      <c r="E144" s="7"/>
      <c r="F144" s="7"/>
      <c r="G144" s="7"/>
      <c r="H144" s="7"/>
      <c r="I144" s="7"/>
      <c r="J144" s="7"/>
      <c r="K144" s="7"/>
      <c r="L144" s="8"/>
      <c r="M144" s="8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>
        <v>4987</v>
      </c>
      <c r="AC144" s="7"/>
      <c r="AD144" s="7"/>
      <c r="AE144" s="7"/>
      <c r="AF144" s="7"/>
      <c r="AG144" s="7"/>
      <c r="AH144" s="7"/>
      <c r="AI144" s="7"/>
      <c r="AJ144" s="58"/>
    </row>
    <row r="145" spans="2:36" ht="54.6" customHeight="1" x14ac:dyDescent="0.2">
      <c r="B145" s="13" t="s">
        <v>145</v>
      </c>
      <c r="C145" s="15" t="s">
        <v>146</v>
      </c>
      <c r="D145" s="21">
        <v>2240</v>
      </c>
      <c r="E145" s="7"/>
      <c r="F145" s="7">
        <v>5000</v>
      </c>
      <c r="G145" s="7">
        <f t="shared" ref="G145:G174" si="5">E145+F145</f>
        <v>5000</v>
      </c>
      <c r="H145" s="3"/>
      <c r="I145" s="7"/>
      <c r="J145" s="7"/>
      <c r="K145" s="7"/>
      <c r="L145" s="8"/>
      <c r="M145" s="8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66">
        <v>500</v>
      </c>
    </row>
    <row r="146" spans="2:36" ht="54.6" customHeight="1" x14ac:dyDescent="0.2">
      <c r="B146" s="13" t="s">
        <v>147</v>
      </c>
      <c r="C146" s="15" t="s">
        <v>148</v>
      </c>
      <c r="D146" s="21">
        <v>2240</v>
      </c>
      <c r="E146" s="7"/>
      <c r="F146" s="59"/>
      <c r="G146" s="7"/>
      <c r="H146" s="7"/>
      <c r="I146" s="7"/>
      <c r="J146" s="7"/>
      <c r="K146" s="7">
        <v>20000</v>
      </c>
      <c r="L146" s="8"/>
      <c r="M146" s="8"/>
      <c r="N146" s="7"/>
      <c r="O146" s="7"/>
      <c r="P146" s="7"/>
      <c r="Q146" s="7"/>
      <c r="R146" s="7"/>
      <c r="S146" s="63">
        <v>2670</v>
      </c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58">
        <v>5425.32</v>
      </c>
    </row>
    <row r="147" spans="2:36" ht="47.25" x14ac:dyDescent="0.2">
      <c r="B147" s="13" t="s">
        <v>150</v>
      </c>
      <c r="C147" s="15" t="s">
        <v>151</v>
      </c>
      <c r="D147" s="21">
        <v>2240</v>
      </c>
      <c r="E147" s="7"/>
      <c r="F147" s="59"/>
      <c r="G147" s="7"/>
      <c r="H147" s="33"/>
      <c r="I147" s="60">
        <v>2388.52</v>
      </c>
      <c r="J147" s="7"/>
      <c r="K147" s="7">
        <v>4700</v>
      </c>
      <c r="L147" s="8"/>
      <c r="M147" s="7">
        <v>2150</v>
      </c>
      <c r="N147" s="7"/>
      <c r="O147" s="63">
        <v>11768.1</v>
      </c>
      <c r="P147" s="7"/>
      <c r="Q147" s="7"/>
      <c r="R147" s="7"/>
      <c r="S147" s="63">
        <v>1326</v>
      </c>
      <c r="T147" s="14">
        <v>1000</v>
      </c>
      <c r="U147" s="20"/>
      <c r="V147" s="20"/>
      <c r="W147" s="63">
        <v>2404.56</v>
      </c>
      <c r="X147" s="7"/>
      <c r="Y147" s="7"/>
      <c r="Z147" s="7">
        <f>5700+2000</f>
        <v>7700</v>
      </c>
      <c r="AA147" s="7"/>
      <c r="AB147" s="7"/>
      <c r="AC147" s="7"/>
      <c r="AD147" s="7"/>
      <c r="AE147" s="7"/>
      <c r="AF147" s="7"/>
      <c r="AG147" s="7"/>
      <c r="AH147" s="7"/>
      <c r="AI147" s="7"/>
      <c r="AJ147" s="74">
        <v>3840</v>
      </c>
    </row>
    <row r="148" spans="2:36" ht="54.6" customHeight="1" x14ac:dyDescent="0.2">
      <c r="B148" s="13" t="s">
        <v>490</v>
      </c>
      <c r="C148" s="15" t="s">
        <v>491</v>
      </c>
      <c r="D148" s="15">
        <v>2240</v>
      </c>
      <c r="E148" s="7"/>
      <c r="F148" s="59"/>
      <c r="G148" s="7"/>
      <c r="H148" s="33"/>
      <c r="I148" s="60"/>
      <c r="J148" s="7"/>
      <c r="K148" s="7"/>
      <c r="L148" s="8"/>
      <c r="M148" s="7"/>
      <c r="N148" s="7"/>
      <c r="O148" s="63"/>
      <c r="P148" s="7"/>
      <c r="Q148" s="7"/>
      <c r="R148" s="7"/>
      <c r="S148" s="63"/>
      <c r="T148" s="14"/>
      <c r="U148" s="63">
        <v>11985</v>
      </c>
      <c r="V148" s="20"/>
      <c r="W148" s="20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34"/>
    </row>
    <row r="149" spans="2:36" ht="54.6" customHeight="1" x14ac:dyDescent="0.2">
      <c r="B149" s="13" t="s">
        <v>153</v>
      </c>
      <c r="C149" s="15" t="s">
        <v>154</v>
      </c>
      <c r="D149" s="21">
        <v>2240</v>
      </c>
      <c r="E149" s="7"/>
      <c r="F149" s="59"/>
      <c r="G149" s="7"/>
      <c r="H149" s="33"/>
      <c r="I149" s="60"/>
      <c r="J149" s="7"/>
      <c r="K149" s="7"/>
      <c r="L149" s="8"/>
      <c r="M149" s="7"/>
      <c r="N149" s="7">
        <v>959.1</v>
      </c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34">
        <v>5597.28</v>
      </c>
    </row>
    <row r="150" spans="2:36" ht="54.6" customHeight="1" x14ac:dyDescent="0.2">
      <c r="B150" s="13" t="s">
        <v>156</v>
      </c>
      <c r="C150" s="15" t="s">
        <v>157</v>
      </c>
      <c r="D150" s="21">
        <v>2240</v>
      </c>
      <c r="E150" s="7"/>
      <c r="F150" s="7">
        <v>20000</v>
      </c>
      <c r="G150" s="7">
        <f t="shared" si="5"/>
        <v>20000</v>
      </c>
      <c r="H150" s="3"/>
      <c r="I150" s="7"/>
      <c r="J150" s="7"/>
      <c r="K150" s="7"/>
      <c r="L150" s="8"/>
      <c r="M150" s="8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66">
        <v>0</v>
      </c>
    </row>
    <row r="151" spans="2:36" ht="33" x14ac:dyDescent="0.2">
      <c r="B151" s="13" t="s">
        <v>159</v>
      </c>
      <c r="C151" s="15" t="s">
        <v>160</v>
      </c>
      <c r="D151" s="21">
        <v>2240</v>
      </c>
      <c r="E151" s="7">
        <v>476</v>
      </c>
      <c r="F151" s="7">
        <v>1600</v>
      </c>
      <c r="G151" s="7">
        <f t="shared" si="5"/>
        <v>2076</v>
      </c>
      <c r="H151" s="3"/>
      <c r="I151" s="7"/>
      <c r="J151" s="7"/>
      <c r="K151" s="7"/>
      <c r="L151" s="8"/>
      <c r="M151" s="8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>
        <v>558.9</v>
      </c>
      <c r="AA151" s="7"/>
      <c r="AB151" s="7"/>
      <c r="AC151" s="7"/>
      <c r="AD151" s="7"/>
      <c r="AE151" s="7"/>
      <c r="AF151" s="7"/>
      <c r="AG151" s="7"/>
      <c r="AH151" s="7"/>
      <c r="AI151" s="7"/>
      <c r="AJ151" s="74">
        <v>4000</v>
      </c>
    </row>
    <row r="152" spans="2:36" ht="54.6" customHeight="1" x14ac:dyDescent="0.2">
      <c r="B152" s="13" t="s">
        <v>492</v>
      </c>
      <c r="C152" s="15" t="s">
        <v>493</v>
      </c>
      <c r="D152" s="21">
        <v>2240</v>
      </c>
      <c r="E152" s="7"/>
      <c r="F152" s="59"/>
      <c r="G152" s="7"/>
      <c r="H152" s="33"/>
      <c r="I152" s="60">
        <v>999.6</v>
      </c>
      <c r="J152" s="7"/>
      <c r="K152" s="7"/>
      <c r="L152" s="8"/>
      <c r="M152" s="8"/>
      <c r="N152" s="7"/>
      <c r="O152" s="7"/>
      <c r="P152" s="7"/>
      <c r="Q152" s="7"/>
      <c r="R152" s="7"/>
      <c r="S152" s="7"/>
      <c r="T152" s="7"/>
      <c r="U152" s="7">
        <v>2500</v>
      </c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34"/>
    </row>
    <row r="153" spans="2:36" ht="54.6" customHeight="1" x14ac:dyDescent="0.2">
      <c r="B153" s="13" t="s">
        <v>161</v>
      </c>
      <c r="C153" s="15" t="s">
        <v>162</v>
      </c>
      <c r="D153" s="21">
        <v>2240</v>
      </c>
      <c r="E153" s="7"/>
      <c r="F153" s="7">
        <v>300</v>
      </c>
      <c r="G153" s="7">
        <f t="shared" si="5"/>
        <v>300</v>
      </c>
      <c r="H153" s="3"/>
      <c r="I153" s="7"/>
      <c r="J153" s="7"/>
      <c r="K153" s="7"/>
      <c r="L153" s="8"/>
      <c r="M153" s="8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66">
        <v>300</v>
      </c>
    </row>
    <row r="154" spans="2:36" ht="63" x14ac:dyDescent="0.2">
      <c r="B154" s="13" t="s">
        <v>494</v>
      </c>
      <c r="C154" s="15" t="s">
        <v>495</v>
      </c>
      <c r="D154" s="21">
        <v>2240</v>
      </c>
      <c r="E154" s="7"/>
      <c r="F154" s="7"/>
      <c r="G154" s="7"/>
      <c r="H154" s="3"/>
      <c r="I154" s="7"/>
      <c r="J154" s="7"/>
      <c r="K154" s="7"/>
      <c r="L154" s="8"/>
      <c r="M154" s="8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>
        <v>3000</v>
      </c>
      <c r="AA154" s="7">
        <v>4578</v>
      </c>
      <c r="AB154" s="7"/>
      <c r="AC154" s="7"/>
      <c r="AD154" s="7"/>
      <c r="AE154" s="7"/>
      <c r="AF154" s="7"/>
      <c r="AG154" s="7"/>
      <c r="AH154" s="7"/>
      <c r="AI154" s="7"/>
      <c r="AJ154" s="68"/>
    </row>
    <row r="155" spans="2:36" ht="54.6" customHeight="1" x14ac:dyDescent="0.2">
      <c r="B155" s="19" t="s">
        <v>496</v>
      </c>
      <c r="C155" s="15" t="s">
        <v>497</v>
      </c>
      <c r="D155" s="21">
        <v>2240</v>
      </c>
      <c r="E155" s="7"/>
      <c r="F155" s="7"/>
      <c r="G155" s="7"/>
      <c r="H155" s="3"/>
      <c r="I155" s="7"/>
      <c r="J155" s="7"/>
      <c r="K155" s="7"/>
      <c r="L155" s="8"/>
      <c r="M155" s="8"/>
      <c r="N155" s="7"/>
      <c r="O155" s="7">
        <v>20.399999999999999</v>
      </c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66"/>
    </row>
    <row r="156" spans="2:36" ht="54.6" customHeight="1" x14ac:dyDescent="0.2">
      <c r="B156" s="13" t="s">
        <v>163</v>
      </c>
      <c r="C156" s="15" t="s">
        <v>164</v>
      </c>
      <c r="D156" s="21">
        <v>2240</v>
      </c>
      <c r="E156" s="7">
        <v>6253</v>
      </c>
      <c r="F156" s="7">
        <v>11747</v>
      </c>
      <c r="G156" s="7">
        <f t="shared" si="5"/>
        <v>18000</v>
      </c>
      <c r="H156" s="3"/>
      <c r="I156" s="7"/>
      <c r="J156" s="7"/>
      <c r="K156" s="7"/>
      <c r="L156" s="8"/>
      <c r="M156" s="8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66">
        <v>5280</v>
      </c>
    </row>
    <row r="157" spans="2:36" ht="54.6" customHeight="1" x14ac:dyDescent="0.2">
      <c r="B157" s="13" t="s">
        <v>166</v>
      </c>
      <c r="C157" s="15" t="s">
        <v>167</v>
      </c>
      <c r="D157" s="21">
        <v>2240</v>
      </c>
      <c r="E157" s="7"/>
      <c r="F157" s="7">
        <v>3600</v>
      </c>
      <c r="G157" s="7">
        <f t="shared" si="5"/>
        <v>3600</v>
      </c>
      <c r="H157" s="3"/>
      <c r="I157" s="7"/>
      <c r="J157" s="7"/>
      <c r="K157" s="7"/>
      <c r="L157" s="8"/>
      <c r="M157" s="8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66">
        <v>1000</v>
      </c>
    </row>
    <row r="158" spans="2:36" ht="54.6" customHeight="1" x14ac:dyDescent="0.2">
      <c r="B158" s="13" t="s">
        <v>168</v>
      </c>
      <c r="C158" s="15" t="s">
        <v>169</v>
      </c>
      <c r="D158" s="21">
        <v>2240</v>
      </c>
      <c r="E158" s="7"/>
      <c r="F158" s="7">
        <v>750</v>
      </c>
      <c r="G158" s="7">
        <f t="shared" si="5"/>
        <v>750</v>
      </c>
      <c r="H158" s="3"/>
      <c r="I158" s="7"/>
      <c r="J158" s="7"/>
      <c r="K158" s="7"/>
      <c r="L158" s="8"/>
      <c r="M158" s="8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66">
        <v>750</v>
      </c>
    </row>
    <row r="159" spans="2:36" ht="54.6" customHeight="1" x14ac:dyDescent="0.2">
      <c r="B159" s="13" t="s">
        <v>498</v>
      </c>
      <c r="C159" s="15" t="s">
        <v>499</v>
      </c>
      <c r="D159" s="21">
        <v>2240</v>
      </c>
      <c r="E159" s="7"/>
      <c r="F159" s="7">
        <v>2520</v>
      </c>
      <c r="G159" s="7">
        <f t="shared" si="5"/>
        <v>2520</v>
      </c>
      <c r="H159" s="3"/>
      <c r="I159" s="7"/>
      <c r="J159" s="7"/>
      <c r="K159" s="7"/>
      <c r="L159" s="8"/>
      <c r="M159" s="8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66"/>
    </row>
    <row r="160" spans="2:36" ht="54.6" customHeight="1" x14ac:dyDescent="0.2">
      <c r="B160" s="13" t="s">
        <v>170</v>
      </c>
      <c r="C160" s="15" t="s">
        <v>171</v>
      </c>
      <c r="D160" s="21">
        <v>2240</v>
      </c>
      <c r="E160" s="7"/>
      <c r="F160" s="7">
        <v>5600</v>
      </c>
      <c r="G160" s="7">
        <f t="shared" si="5"/>
        <v>5600</v>
      </c>
      <c r="H160" s="3"/>
      <c r="I160" s="7"/>
      <c r="J160" s="7"/>
      <c r="K160" s="7"/>
      <c r="L160" s="8"/>
      <c r="M160" s="8"/>
      <c r="N160" s="7"/>
      <c r="O160" s="7"/>
      <c r="P160" s="7"/>
      <c r="Q160" s="7"/>
      <c r="R160" s="7"/>
      <c r="S160" s="7"/>
      <c r="T160" s="7"/>
      <c r="U160" s="7">
        <v>5475</v>
      </c>
      <c r="V160" s="7"/>
      <c r="W160" s="7"/>
      <c r="X160" s="7"/>
      <c r="Y160" s="7">
        <v>1100</v>
      </c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66">
        <v>2500</v>
      </c>
    </row>
    <row r="161" spans="2:36" ht="54.6" customHeight="1" x14ac:dyDescent="0.2">
      <c r="B161" s="19" t="s">
        <v>172</v>
      </c>
      <c r="C161" s="15" t="s">
        <v>173</v>
      </c>
      <c r="D161" s="21">
        <v>2240</v>
      </c>
      <c r="E161" s="7"/>
      <c r="F161" s="7"/>
      <c r="G161" s="7"/>
      <c r="H161" s="3"/>
      <c r="I161" s="7"/>
      <c r="J161" s="7"/>
      <c r="K161" s="7"/>
      <c r="L161" s="8"/>
      <c r="M161" s="8"/>
      <c r="N161" s="7"/>
      <c r="O161" s="7"/>
      <c r="P161" s="7"/>
      <c r="Q161" s="7"/>
      <c r="R161" s="7"/>
      <c r="S161" s="7"/>
      <c r="T161" s="7"/>
      <c r="U161" s="7"/>
      <c r="V161" s="7">
        <v>810</v>
      </c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66">
        <v>582</v>
      </c>
    </row>
    <row r="162" spans="2:36" s="12" customFormat="1" ht="56.25" customHeight="1" x14ac:dyDescent="0.25">
      <c r="B162" s="13" t="s">
        <v>175</v>
      </c>
      <c r="C162" s="15" t="s">
        <v>176</v>
      </c>
      <c r="D162" s="15">
        <v>2240</v>
      </c>
      <c r="E162" s="14"/>
      <c r="F162" s="14" t="e">
        <f>E162+#REF!</f>
        <v>#REF!</v>
      </c>
      <c r="G162" s="14">
        <v>750</v>
      </c>
      <c r="H162" s="14"/>
      <c r="I162" s="14"/>
      <c r="J162" s="14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4"/>
      <c r="AH162" s="16"/>
      <c r="AI162" s="79"/>
      <c r="AJ162" s="18">
        <v>750</v>
      </c>
    </row>
    <row r="163" spans="2:36" ht="54.6" customHeight="1" x14ac:dyDescent="0.2">
      <c r="B163" s="13" t="s">
        <v>177</v>
      </c>
      <c r="C163" s="15" t="s">
        <v>178</v>
      </c>
      <c r="D163" s="21">
        <v>2240</v>
      </c>
      <c r="E163" s="7"/>
      <c r="F163" s="7">
        <v>15000</v>
      </c>
      <c r="G163" s="7">
        <f t="shared" si="5"/>
        <v>15000</v>
      </c>
      <c r="H163" s="3"/>
      <c r="I163" s="7"/>
      <c r="J163" s="7"/>
      <c r="K163" s="7"/>
      <c r="L163" s="8"/>
      <c r="M163" s="8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66">
        <v>3500</v>
      </c>
    </row>
    <row r="164" spans="2:36" ht="54.6" customHeight="1" x14ac:dyDescent="0.2">
      <c r="B164" s="13" t="s">
        <v>179</v>
      </c>
      <c r="C164" s="15" t="s">
        <v>180</v>
      </c>
      <c r="D164" s="21">
        <v>2240</v>
      </c>
      <c r="E164" s="7"/>
      <c r="F164" s="7">
        <v>1600</v>
      </c>
      <c r="G164" s="7">
        <f t="shared" si="5"/>
        <v>1600</v>
      </c>
      <c r="H164" s="3"/>
      <c r="I164" s="7"/>
      <c r="J164" s="7"/>
      <c r="K164" s="7"/>
      <c r="L164" s="8"/>
      <c r="M164" s="8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66">
        <v>400</v>
      </c>
    </row>
    <row r="165" spans="2:36" s="12" customFormat="1" ht="56.25" customHeight="1" x14ac:dyDescent="0.25">
      <c r="B165" s="13" t="s">
        <v>181</v>
      </c>
      <c r="C165" s="15" t="s">
        <v>182</v>
      </c>
      <c r="D165" s="15">
        <v>2240</v>
      </c>
      <c r="E165" s="14"/>
      <c r="F165" s="14" t="e">
        <f>E165+#REF!</f>
        <v>#REF!</v>
      </c>
      <c r="G165" s="14">
        <v>1400</v>
      </c>
      <c r="H165" s="14"/>
      <c r="I165" s="14"/>
      <c r="J165" s="14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4"/>
      <c r="AH165" s="16"/>
      <c r="AI165" s="79"/>
      <c r="AJ165" s="18">
        <v>1400</v>
      </c>
    </row>
    <row r="166" spans="2:36" ht="99.75" customHeight="1" x14ac:dyDescent="0.2">
      <c r="B166" s="13" t="s">
        <v>183</v>
      </c>
      <c r="C166" s="15" t="s">
        <v>184</v>
      </c>
      <c r="D166" s="21">
        <v>2240</v>
      </c>
      <c r="E166" s="7">
        <f>10000-89</f>
        <v>9911</v>
      </c>
      <c r="F166" s="7">
        <f>99600-10000+89</f>
        <v>89689</v>
      </c>
      <c r="G166" s="7">
        <f t="shared" si="5"/>
        <v>99600</v>
      </c>
      <c r="H166" s="3"/>
      <c r="I166" s="7"/>
      <c r="J166" s="7"/>
      <c r="K166" s="7"/>
      <c r="L166" s="8"/>
      <c r="M166" s="8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>
        <v>3185.48</v>
      </c>
      <c r="AD166" s="7"/>
      <c r="AE166" s="7"/>
      <c r="AF166" s="7"/>
      <c r="AG166" s="7"/>
      <c r="AH166" s="7"/>
      <c r="AI166" s="7"/>
      <c r="AJ166" s="75">
        <v>5000</v>
      </c>
    </row>
    <row r="167" spans="2:36" ht="54.6" customHeight="1" x14ac:dyDescent="0.2">
      <c r="B167" s="13" t="s">
        <v>185</v>
      </c>
      <c r="C167" s="15" t="s">
        <v>186</v>
      </c>
      <c r="D167" s="21">
        <v>2240</v>
      </c>
      <c r="E167" s="7">
        <v>360</v>
      </c>
      <c r="F167" s="7"/>
      <c r="G167" s="7">
        <f t="shared" si="5"/>
        <v>360</v>
      </c>
      <c r="H167" s="7"/>
      <c r="I167" s="7"/>
      <c r="J167" s="7"/>
      <c r="K167" s="7">
        <v>1799.14</v>
      </c>
      <c r="L167" s="8"/>
      <c r="M167" s="8"/>
      <c r="N167" s="7"/>
      <c r="O167" s="7"/>
      <c r="P167" s="7"/>
      <c r="Q167" s="7"/>
      <c r="R167" s="7"/>
      <c r="S167" s="7"/>
      <c r="T167" s="7"/>
      <c r="U167" s="7">
        <v>700</v>
      </c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58">
        <v>500</v>
      </c>
    </row>
    <row r="168" spans="2:36" ht="54.6" customHeight="1" x14ac:dyDescent="0.2">
      <c r="B168" s="13" t="s">
        <v>187</v>
      </c>
      <c r="C168" s="15" t="s">
        <v>188</v>
      </c>
      <c r="D168" s="21">
        <v>2240</v>
      </c>
      <c r="E168" s="7"/>
      <c r="F168" s="7"/>
      <c r="G168" s="7"/>
      <c r="H168" s="7"/>
      <c r="I168" s="7"/>
      <c r="J168" s="7"/>
      <c r="K168" s="7"/>
      <c r="L168" s="8"/>
      <c r="M168" s="8"/>
      <c r="N168" s="7"/>
      <c r="O168" s="7"/>
      <c r="P168" s="7"/>
      <c r="Q168" s="20" t="s">
        <v>503</v>
      </c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58">
        <v>2891.4</v>
      </c>
    </row>
    <row r="169" spans="2:36" ht="54.6" customHeight="1" x14ac:dyDescent="0.2">
      <c r="B169" s="13" t="s">
        <v>190</v>
      </c>
      <c r="C169" s="15" t="s">
        <v>191</v>
      </c>
      <c r="D169" s="21">
        <v>2240</v>
      </c>
      <c r="E169" s="7"/>
      <c r="F169" s="7">
        <v>5000</v>
      </c>
      <c r="G169" s="7">
        <f t="shared" si="5"/>
        <v>5000</v>
      </c>
      <c r="H169" s="3"/>
      <c r="I169" s="7"/>
      <c r="J169" s="7"/>
      <c r="K169" s="7"/>
      <c r="L169" s="8"/>
      <c r="M169" s="8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62"/>
      <c r="AC169" s="7"/>
      <c r="AD169" s="7"/>
      <c r="AE169" s="7"/>
      <c r="AF169" s="7"/>
      <c r="AG169" s="7"/>
      <c r="AH169" s="7"/>
      <c r="AI169" s="7"/>
      <c r="AJ169" s="66">
        <v>1000</v>
      </c>
    </row>
    <row r="170" spans="2:36" ht="54.6" customHeight="1" x14ac:dyDescent="0.2">
      <c r="B170" s="13" t="s">
        <v>192</v>
      </c>
      <c r="C170" s="15" t="s">
        <v>193</v>
      </c>
      <c r="D170" s="21">
        <v>2240</v>
      </c>
      <c r="E170" s="7"/>
      <c r="F170" s="7">
        <v>15600</v>
      </c>
      <c r="G170" s="7">
        <f t="shared" si="5"/>
        <v>15600</v>
      </c>
      <c r="H170" s="3"/>
      <c r="I170" s="7"/>
      <c r="J170" s="7"/>
      <c r="K170" s="7"/>
      <c r="L170" s="8"/>
      <c r="M170" s="8"/>
      <c r="N170" s="7"/>
      <c r="O170" s="7"/>
      <c r="P170" s="7"/>
      <c r="Q170" s="20" t="s">
        <v>504</v>
      </c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91">
        <v>2508.6</v>
      </c>
    </row>
    <row r="171" spans="2:36" ht="33" x14ac:dyDescent="0.2">
      <c r="B171" s="13" t="s">
        <v>195</v>
      </c>
      <c r="C171" s="15" t="s">
        <v>196</v>
      </c>
      <c r="D171" s="21">
        <v>2240</v>
      </c>
      <c r="E171" s="7"/>
      <c r="F171" s="7"/>
      <c r="G171" s="7"/>
      <c r="H171" s="3"/>
      <c r="I171" s="7"/>
      <c r="J171" s="7"/>
      <c r="K171" s="7"/>
      <c r="L171" s="8"/>
      <c r="M171" s="8"/>
      <c r="N171" s="7"/>
      <c r="O171" s="7"/>
      <c r="P171" s="7"/>
      <c r="Q171" s="20"/>
      <c r="R171" s="7"/>
      <c r="S171" s="7"/>
      <c r="T171" s="7"/>
      <c r="U171" s="7"/>
      <c r="V171" s="7"/>
      <c r="W171" s="7"/>
      <c r="X171" s="7"/>
      <c r="Y171" s="7">
        <v>3600</v>
      </c>
      <c r="Z171" s="7">
        <v>400</v>
      </c>
      <c r="AA171" s="7"/>
      <c r="AB171" s="7"/>
      <c r="AC171" s="7"/>
      <c r="AD171" s="7"/>
      <c r="AE171" s="7"/>
      <c r="AF171" s="7"/>
      <c r="AG171" s="7"/>
      <c r="AH171" s="7"/>
      <c r="AI171" s="7"/>
      <c r="AJ171" s="74">
        <v>1000</v>
      </c>
    </row>
    <row r="172" spans="2:36" ht="54.6" customHeight="1" x14ac:dyDescent="0.2">
      <c r="B172" s="13" t="s">
        <v>505</v>
      </c>
      <c r="C172" s="15" t="s">
        <v>506</v>
      </c>
      <c r="D172" s="21">
        <v>2240</v>
      </c>
      <c r="E172" s="7"/>
      <c r="F172" s="7">
        <v>6000</v>
      </c>
      <c r="G172" s="7">
        <f>E172+F172</f>
        <v>6000</v>
      </c>
      <c r="H172" s="3"/>
      <c r="I172" s="7"/>
      <c r="J172" s="7"/>
      <c r="K172" s="7"/>
      <c r="L172" s="8"/>
      <c r="M172" s="8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62"/>
      <c r="AC172" s="7"/>
      <c r="AD172" s="7"/>
      <c r="AE172" s="7"/>
      <c r="AF172" s="7"/>
      <c r="AG172" s="7"/>
      <c r="AH172" s="7"/>
      <c r="AI172" s="7"/>
      <c r="AJ172" s="66"/>
    </row>
    <row r="173" spans="2:36" ht="54.6" customHeight="1" x14ac:dyDescent="0.2">
      <c r="B173" s="13" t="s">
        <v>197</v>
      </c>
      <c r="C173" s="15" t="s">
        <v>198</v>
      </c>
      <c r="D173" s="21">
        <v>2240</v>
      </c>
      <c r="E173" s="7">
        <v>3000</v>
      </c>
      <c r="F173" s="7">
        <v>18140</v>
      </c>
      <c r="G173" s="7">
        <f t="shared" si="5"/>
        <v>21140</v>
      </c>
      <c r="H173" s="3"/>
      <c r="I173" s="7"/>
      <c r="J173" s="7"/>
      <c r="K173" s="7"/>
      <c r="L173" s="8"/>
      <c r="M173" s="8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66">
        <v>2036</v>
      </c>
    </row>
    <row r="174" spans="2:36" ht="75" customHeight="1" x14ac:dyDescent="0.2">
      <c r="B174" s="13" t="s">
        <v>200</v>
      </c>
      <c r="C174" s="15" t="s">
        <v>201</v>
      </c>
      <c r="D174" s="21">
        <v>2240</v>
      </c>
      <c r="E174" s="7"/>
      <c r="F174" s="7">
        <v>14300</v>
      </c>
      <c r="G174" s="7">
        <f t="shared" si="5"/>
        <v>14300</v>
      </c>
      <c r="H174" s="3"/>
      <c r="I174" s="7"/>
      <c r="J174" s="7">
        <v>6802.21</v>
      </c>
      <c r="K174" s="7">
        <v>5131.8100000000004</v>
      </c>
      <c r="L174" s="8"/>
      <c r="M174" s="8"/>
      <c r="N174" s="7">
        <v>3357.55</v>
      </c>
      <c r="O174" s="7"/>
      <c r="P174" s="20" t="s">
        <v>507</v>
      </c>
      <c r="Q174" s="7"/>
      <c r="R174" s="7"/>
      <c r="S174" s="20" t="s">
        <v>508</v>
      </c>
      <c r="T174" s="7"/>
      <c r="U174" s="7"/>
      <c r="V174" s="7"/>
      <c r="W174" s="7"/>
      <c r="X174" s="7">
        <v>15009.44</v>
      </c>
      <c r="Y174" s="7">
        <v>3544</v>
      </c>
      <c r="Z174" s="7"/>
      <c r="AA174" s="7">
        <v>4322</v>
      </c>
      <c r="AB174" s="7">
        <f>4600-354.4</f>
        <v>4245.6000000000004</v>
      </c>
      <c r="AC174" s="7">
        <v>5000</v>
      </c>
      <c r="AD174" s="7"/>
      <c r="AE174" s="7"/>
      <c r="AF174" s="7"/>
      <c r="AG174" s="7"/>
      <c r="AH174" s="7"/>
      <c r="AI174" s="7"/>
      <c r="AJ174" s="58">
        <v>21839</v>
      </c>
    </row>
    <row r="175" spans="2:36" ht="54.6" customHeight="1" x14ac:dyDescent="0.2">
      <c r="B175" s="13" t="s">
        <v>509</v>
      </c>
      <c r="C175" s="15" t="s">
        <v>510</v>
      </c>
      <c r="D175" s="21">
        <v>2240</v>
      </c>
      <c r="E175" s="7"/>
      <c r="F175" s="59"/>
      <c r="G175" s="7"/>
      <c r="H175" s="33"/>
      <c r="I175" s="7"/>
      <c r="J175" s="7"/>
      <c r="K175" s="7">
        <v>2982</v>
      </c>
      <c r="L175" s="8"/>
      <c r="M175" s="8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34"/>
    </row>
    <row r="176" spans="2:36" ht="16.5" x14ac:dyDescent="0.2">
      <c r="B176" s="65" t="s">
        <v>202</v>
      </c>
      <c r="C176" s="15"/>
      <c r="D176" s="21"/>
      <c r="E176" s="60">
        <f>SUM(E145:E175)</f>
        <v>20000</v>
      </c>
      <c r="F176" s="60" t="e">
        <f>SUM(F145:F175)</f>
        <v>#REF!</v>
      </c>
      <c r="G176" s="60">
        <f>SUM(G145:G175)</f>
        <v>238596</v>
      </c>
      <c r="H176" s="3"/>
      <c r="I176" s="7"/>
      <c r="J176" s="7"/>
      <c r="K176" s="7"/>
      <c r="L176" s="8"/>
      <c r="M176" s="8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60">
        <f>SUM(AG144:AG175)</f>
        <v>0</v>
      </c>
      <c r="AH176" s="7"/>
      <c r="AI176" s="7"/>
      <c r="AJ176" s="66"/>
    </row>
    <row r="177" spans="2:37" s="2" customFormat="1" ht="54.6" customHeight="1" x14ac:dyDescent="0.2">
      <c r="B177" s="13" t="s">
        <v>515</v>
      </c>
      <c r="C177" s="15" t="s">
        <v>204</v>
      </c>
      <c r="D177" s="21">
        <v>2272</v>
      </c>
      <c r="E177" s="7"/>
      <c r="F177" s="7"/>
      <c r="G177" s="7"/>
      <c r="H177" s="3"/>
      <c r="I177" s="7"/>
      <c r="J177" s="7"/>
      <c r="K177" s="7"/>
      <c r="L177" s="8"/>
      <c r="M177" s="8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>
        <v>2547.41</v>
      </c>
      <c r="AC177" s="7"/>
      <c r="AD177" s="7"/>
      <c r="AE177" s="7"/>
      <c r="AF177" s="7"/>
      <c r="AG177" s="7"/>
      <c r="AH177" s="7"/>
      <c r="AI177" s="7"/>
      <c r="AJ177" s="74">
        <v>4500</v>
      </c>
    </row>
    <row r="178" spans="2:37" s="2" customFormat="1" ht="54.6" customHeight="1" x14ac:dyDescent="0.2">
      <c r="B178" s="65" t="s">
        <v>205</v>
      </c>
      <c r="C178" s="76"/>
      <c r="D178" s="4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  <c r="AA178" s="60"/>
      <c r="AB178" s="60"/>
      <c r="AC178" s="60"/>
      <c r="AD178" s="60"/>
      <c r="AE178" s="60"/>
      <c r="AF178" s="60"/>
      <c r="AG178" s="60">
        <f>SUM(AG177:AG177)</f>
        <v>0</v>
      </c>
      <c r="AH178" s="7"/>
      <c r="AI178" s="7"/>
      <c r="AJ178" s="71"/>
    </row>
    <row r="179" spans="2:37" ht="54.6" customHeight="1" x14ac:dyDescent="0.2">
      <c r="B179" s="13" t="s">
        <v>185</v>
      </c>
      <c r="C179" s="15" t="s">
        <v>186</v>
      </c>
      <c r="D179" s="21">
        <v>2282</v>
      </c>
      <c r="E179" s="7"/>
      <c r="F179" s="7">
        <v>8000</v>
      </c>
      <c r="G179" s="7">
        <f>E179+F179</f>
        <v>8000</v>
      </c>
      <c r="H179" s="7"/>
      <c r="I179" s="7"/>
      <c r="J179" s="7"/>
      <c r="K179" s="7"/>
      <c r="L179" s="8"/>
      <c r="M179" s="8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58">
        <v>1300</v>
      </c>
    </row>
    <row r="180" spans="2:37" ht="54.6" customHeight="1" x14ac:dyDescent="0.2">
      <c r="B180" s="65" t="s">
        <v>206</v>
      </c>
      <c r="C180" s="77"/>
      <c r="D180" s="3"/>
      <c r="E180" s="60" t="e">
        <f>SUM(#REF!)</f>
        <v>#REF!</v>
      </c>
      <c r="F180" s="60">
        <f>SUM(F179:F179)</f>
        <v>8000</v>
      </c>
      <c r="G180" s="60">
        <f>SUM(G179:G179)</f>
        <v>8000</v>
      </c>
      <c r="H180" s="3"/>
      <c r="I180" s="7"/>
      <c r="J180" s="7"/>
      <c r="K180" s="7"/>
      <c r="L180" s="8"/>
      <c r="M180" s="8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60">
        <f>SUM(AG179:AG179)</f>
        <v>0</v>
      </c>
      <c r="AH180" s="7"/>
      <c r="AI180" s="7"/>
      <c r="AJ180" s="66"/>
    </row>
    <row r="181" spans="2:37" ht="54.6" customHeight="1" x14ac:dyDescent="0.2">
      <c r="B181" s="19" t="s">
        <v>518</v>
      </c>
      <c r="C181" s="15" t="s">
        <v>519</v>
      </c>
      <c r="D181" s="15">
        <v>2800</v>
      </c>
      <c r="E181" s="60"/>
      <c r="F181" s="60"/>
      <c r="G181" s="60"/>
      <c r="H181" s="3"/>
      <c r="I181" s="7"/>
      <c r="J181" s="7"/>
      <c r="K181" s="7"/>
      <c r="L181" s="8"/>
      <c r="M181" s="8"/>
      <c r="N181" s="7"/>
      <c r="O181" s="7"/>
      <c r="P181" s="7"/>
      <c r="Q181" s="7"/>
      <c r="R181" s="7"/>
      <c r="S181" s="7"/>
      <c r="T181" s="7"/>
      <c r="U181" s="7"/>
      <c r="V181" s="7">
        <v>1700</v>
      </c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66"/>
    </row>
    <row r="182" spans="2:37" ht="54.6" customHeight="1" x14ac:dyDescent="0.2">
      <c r="B182" s="22" t="s">
        <v>520</v>
      </c>
      <c r="C182" s="78"/>
      <c r="D182" s="15"/>
      <c r="E182" s="60"/>
      <c r="F182" s="60"/>
      <c r="G182" s="60"/>
      <c r="H182" s="3"/>
      <c r="I182" s="7"/>
      <c r="J182" s="7"/>
      <c r="K182" s="7"/>
      <c r="L182" s="8"/>
      <c r="M182" s="8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60">
        <f>SUM(AG181)</f>
        <v>0</v>
      </c>
      <c r="AH182" s="7"/>
      <c r="AI182" s="7"/>
      <c r="AJ182" s="66"/>
    </row>
    <row r="183" spans="2:37" ht="54.6" customHeight="1" x14ac:dyDescent="0.2">
      <c r="B183" s="19" t="s">
        <v>97</v>
      </c>
      <c r="C183" s="15" t="s">
        <v>98</v>
      </c>
      <c r="D183" s="21">
        <v>3110</v>
      </c>
      <c r="E183" s="60"/>
      <c r="F183" s="60"/>
      <c r="G183" s="60"/>
      <c r="H183" s="3"/>
      <c r="I183" s="7"/>
      <c r="J183" s="7"/>
      <c r="K183" s="7"/>
      <c r="L183" s="8"/>
      <c r="M183" s="8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>
        <v>6900</v>
      </c>
      <c r="AA183" s="7"/>
      <c r="AB183" s="7"/>
      <c r="AC183" s="7"/>
      <c r="AD183" s="7"/>
      <c r="AE183" s="7"/>
      <c r="AF183" s="7"/>
      <c r="AG183" s="7"/>
      <c r="AH183" s="7"/>
      <c r="AI183" s="7"/>
      <c r="AJ183" s="66"/>
    </row>
    <row r="184" spans="2:37" ht="54.6" customHeight="1" x14ac:dyDescent="0.2">
      <c r="B184" s="13" t="s">
        <v>521</v>
      </c>
      <c r="C184" s="15" t="s">
        <v>328</v>
      </c>
      <c r="D184" s="21">
        <v>3110</v>
      </c>
      <c r="E184" s="7"/>
      <c r="F184" s="59"/>
      <c r="G184" s="7"/>
      <c r="H184" s="33"/>
      <c r="I184" s="7"/>
      <c r="J184" s="7"/>
      <c r="K184" s="7">
        <v>5000</v>
      </c>
      <c r="L184" s="7">
        <v>4565.8</v>
      </c>
      <c r="M184" s="8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34"/>
    </row>
    <row r="185" spans="2:37" ht="54" customHeight="1" x14ac:dyDescent="0.2">
      <c r="B185" s="13" t="s">
        <v>58</v>
      </c>
      <c r="C185" s="15" t="s">
        <v>59</v>
      </c>
      <c r="D185" s="15">
        <v>3110</v>
      </c>
      <c r="E185" s="7"/>
      <c r="F185" s="59"/>
      <c r="G185" s="7"/>
      <c r="H185" s="33"/>
      <c r="I185" s="7"/>
      <c r="J185" s="7"/>
      <c r="K185" s="7"/>
      <c r="L185" s="7"/>
      <c r="M185" s="8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>
        <v>3839</v>
      </c>
      <c r="Y185" s="7"/>
      <c r="Z185" s="7"/>
      <c r="AA185" s="7"/>
      <c r="AB185" s="7"/>
      <c r="AC185" s="7">
        <v>5000</v>
      </c>
      <c r="AD185" s="7"/>
      <c r="AE185" s="7"/>
      <c r="AF185" s="7"/>
      <c r="AG185" s="7"/>
      <c r="AH185" s="7"/>
      <c r="AI185" s="7"/>
      <c r="AJ185" s="58"/>
    </row>
    <row r="186" spans="2:37" ht="54.6" customHeight="1" x14ac:dyDescent="0.2">
      <c r="B186" s="13" t="s">
        <v>207</v>
      </c>
      <c r="C186" s="15" t="s">
        <v>208</v>
      </c>
      <c r="D186" s="21">
        <v>3110</v>
      </c>
      <c r="E186" s="7"/>
      <c r="F186" s="59"/>
      <c r="G186" s="7"/>
      <c r="H186" s="33"/>
      <c r="I186" s="7"/>
      <c r="J186" s="7"/>
      <c r="K186" s="7"/>
      <c r="L186" s="7"/>
      <c r="M186" s="8"/>
      <c r="N186" s="7"/>
      <c r="O186" s="7"/>
      <c r="P186" s="7"/>
      <c r="Q186" s="7"/>
      <c r="R186" s="7"/>
      <c r="S186" s="20" t="s">
        <v>522</v>
      </c>
      <c r="T186" s="7"/>
      <c r="U186" s="7"/>
      <c r="V186" s="7">
        <v>3000</v>
      </c>
      <c r="W186" s="7">
        <v>4000</v>
      </c>
      <c r="X186" s="7">
        <v>21500</v>
      </c>
      <c r="Y186" s="7">
        <v>7900</v>
      </c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34">
        <v>5700</v>
      </c>
    </row>
    <row r="187" spans="2:37" ht="54.6" customHeight="1" x14ac:dyDescent="0.2">
      <c r="B187" s="13" t="s">
        <v>366</v>
      </c>
      <c r="C187" s="15" t="s">
        <v>367</v>
      </c>
      <c r="D187" s="21">
        <v>3110</v>
      </c>
      <c r="E187" s="8"/>
      <c r="F187" s="59"/>
      <c r="G187" s="7"/>
      <c r="H187" s="33"/>
      <c r="I187" s="7"/>
      <c r="J187" s="7"/>
      <c r="K187" s="7"/>
      <c r="L187" s="7">
        <v>10000</v>
      </c>
      <c r="M187" s="8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34"/>
    </row>
    <row r="188" spans="2:37" ht="50.45" customHeight="1" x14ac:dyDescent="0.2">
      <c r="B188" s="13" t="s">
        <v>523</v>
      </c>
      <c r="C188" s="15" t="s">
        <v>524</v>
      </c>
      <c r="D188" s="15">
        <v>3110</v>
      </c>
      <c r="E188" s="8"/>
      <c r="F188" s="59"/>
      <c r="G188" s="7"/>
      <c r="H188" s="33"/>
      <c r="I188" s="7"/>
      <c r="J188" s="7"/>
      <c r="K188" s="7"/>
      <c r="L188" s="7"/>
      <c r="M188" s="8"/>
      <c r="N188" s="7"/>
      <c r="O188" s="20" t="s">
        <v>525</v>
      </c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>
        <v>756</v>
      </c>
      <c r="AD188" s="7"/>
      <c r="AE188" s="7"/>
      <c r="AF188" s="7"/>
      <c r="AG188" s="7"/>
      <c r="AH188" s="7"/>
      <c r="AI188" s="7"/>
      <c r="AJ188" s="58"/>
    </row>
    <row r="189" spans="2:37" ht="15.6" customHeight="1" x14ac:dyDescent="0.2">
      <c r="B189" s="65" t="s">
        <v>209</v>
      </c>
      <c r="C189" s="77"/>
      <c r="D189" s="3"/>
      <c r="E189" s="60" t="e">
        <f>SUM(E180:E184)</f>
        <v>#REF!</v>
      </c>
      <c r="F189" s="60">
        <f>SUM(F184)</f>
        <v>0</v>
      </c>
      <c r="G189" s="60">
        <f>SUM(G184)</f>
        <v>0</v>
      </c>
      <c r="H189" s="3"/>
      <c r="I189" s="7"/>
      <c r="J189" s="7"/>
      <c r="K189" s="7"/>
      <c r="L189" s="7"/>
      <c r="M189" s="8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60">
        <f>SUM(AG183:AG188)</f>
        <v>0</v>
      </c>
      <c r="AH189" s="7"/>
      <c r="AI189" s="7"/>
      <c r="AJ189" s="66"/>
    </row>
    <row r="190" spans="2:37" s="12" customFormat="1" ht="16.899999999999999" customHeight="1" x14ac:dyDescent="0.25">
      <c r="B190" s="138" t="s">
        <v>526</v>
      </c>
      <c r="C190" s="139"/>
      <c r="D190" s="139"/>
      <c r="E190" s="139"/>
      <c r="F190" s="139"/>
      <c r="G190" s="139"/>
      <c r="H190" s="32"/>
      <c r="I190" s="14"/>
      <c r="J190" s="14"/>
      <c r="K190" s="14"/>
      <c r="L190" s="16"/>
      <c r="M190" s="16"/>
      <c r="N190" s="16"/>
      <c r="O190" s="16"/>
      <c r="P190" s="16"/>
      <c r="Q190" s="16"/>
      <c r="R190" s="16"/>
      <c r="S190" s="16"/>
      <c r="T190" s="7"/>
      <c r="U190" s="7"/>
      <c r="V190" s="7"/>
      <c r="W190" s="7"/>
      <c r="X190" s="16"/>
      <c r="Y190" s="16"/>
      <c r="Z190" s="16"/>
      <c r="AA190" s="16"/>
      <c r="AB190" s="16"/>
      <c r="AC190" s="16"/>
      <c r="AD190" s="16"/>
      <c r="AE190" s="16"/>
      <c r="AF190" s="16"/>
      <c r="AG190" s="7"/>
      <c r="AH190" s="7"/>
      <c r="AI190" s="7"/>
      <c r="AJ190" s="80"/>
    </row>
    <row r="191" spans="2:37" ht="187.15" customHeight="1" x14ac:dyDescent="0.2">
      <c r="B191" s="13" t="s">
        <v>46</v>
      </c>
      <c r="C191" s="15" t="s">
        <v>47</v>
      </c>
      <c r="D191" s="21">
        <v>2210</v>
      </c>
      <c r="E191" s="7">
        <v>5000</v>
      </c>
      <c r="F191" s="7"/>
      <c r="G191" s="7">
        <f>E191+F191</f>
        <v>5000</v>
      </c>
      <c r="H191" s="8"/>
      <c r="I191" s="8"/>
      <c r="J191" s="8"/>
      <c r="K191" s="8"/>
      <c r="L191" s="8"/>
      <c r="M191" s="8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>
        <f t="shared" ref="AG191:AG197" si="6">G191+I191+J191+K191+L191+M191+N191+O191+P191+Q191+R191+S191+T191+U191+V191+W191+X191+Y191+Z191+AA191+AB191+AC191+AD191+AE191+AF191</f>
        <v>5000</v>
      </c>
      <c r="AH191" s="7"/>
      <c r="AI191" s="7"/>
      <c r="AJ191" s="81"/>
      <c r="AK191" s="5">
        <v>42000</v>
      </c>
    </row>
    <row r="192" spans="2:37" ht="78" customHeight="1" x14ac:dyDescent="0.2">
      <c r="B192" s="13" t="s">
        <v>41</v>
      </c>
      <c r="C192" s="15" t="s">
        <v>249</v>
      </c>
      <c r="D192" s="21">
        <v>2210</v>
      </c>
      <c r="E192" s="7">
        <v>5000</v>
      </c>
      <c r="F192" s="7"/>
      <c r="G192" s="7">
        <f t="shared" ref="G192" si="7">E192+F192</f>
        <v>5000</v>
      </c>
      <c r="H192" s="7"/>
      <c r="I192" s="7"/>
      <c r="J192" s="7"/>
      <c r="K192" s="7"/>
      <c r="L192" s="8"/>
      <c r="M192" s="8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>
        <f t="shared" si="6"/>
        <v>5000</v>
      </c>
      <c r="AH192" s="7"/>
      <c r="AI192" s="7"/>
      <c r="AJ192" s="58"/>
    </row>
    <row r="193" spans="1:36" ht="31.15" customHeight="1" x14ac:dyDescent="0.2">
      <c r="B193" s="13" t="s">
        <v>77</v>
      </c>
      <c r="C193" s="15" t="s">
        <v>78</v>
      </c>
      <c r="D193" s="21">
        <v>2210</v>
      </c>
      <c r="E193" s="7">
        <f>12000+3000</f>
        <v>15000</v>
      </c>
      <c r="F193" s="8"/>
      <c r="G193" s="7">
        <f>E193+F193</f>
        <v>15000</v>
      </c>
      <c r="H193" s="8"/>
      <c r="I193" s="60"/>
      <c r="J193" s="7"/>
      <c r="K193" s="7"/>
      <c r="L193" s="7"/>
      <c r="M193" s="9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>
        <f t="shared" si="6"/>
        <v>15000</v>
      </c>
      <c r="AH193" s="7"/>
      <c r="AI193" s="7"/>
      <c r="AJ193" s="81"/>
    </row>
    <row r="194" spans="1:36" ht="15.6" customHeight="1" x14ac:dyDescent="0.2">
      <c r="B194" s="13" t="s">
        <v>81</v>
      </c>
      <c r="C194" s="15" t="s">
        <v>82</v>
      </c>
      <c r="D194" s="21">
        <v>2210</v>
      </c>
      <c r="E194" s="7">
        <v>15000</v>
      </c>
      <c r="F194" s="7"/>
      <c r="G194" s="7">
        <f t="shared" ref="G194:G197" si="8">E194+F194</f>
        <v>15000</v>
      </c>
      <c r="H194" s="3"/>
      <c r="I194" s="7"/>
      <c r="J194" s="7"/>
      <c r="K194" s="7"/>
      <c r="L194" s="7"/>
      <c r="M194" s="9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>
        <f t="shared" si="6"/>
        <v>15000</v>
      </c>
      <c r="AH194" s="7"/>
      <c r="AI194" s="7"/>
      <c r="AJ194" s="66"/>
    </row>
    <row r="195" spans="1:36" s="2" customFormat="1" ht="31.15" customHeight="1" x14ac:dyDescent="0.2">
      <c r="B195" s="13" t="s">
        <v>366</v>
      </c>
      <c r="C195" s="15" t="s">
        <v>367</v>
      </c>
      <c r="D195" s="21">
        <v>2210</v>
      </c>
      <c r="E195" s="7">
        <v>20000</v>
      </c>
      <c r="F195" s="8"/>
      <c r="G195" s="7">
        <f t="shared" si="8"/>
        <v>20000</v>
      </c>
      <c r="H195" s="8"/>
      <c r="I195" s="82"/>
      <c r="J195" s="8"/>
      <c r="K195" s="8"/>
      <c r="L195" s="8"/>
      <c r="M195" s="8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>
        <f t="shared" si="6"/>
        <v>20000</v>
      </c>
      <c r="AH195" s="7"/>
      <c r="AI195" s="7"/>
      <c r="AJ195" s="81"/>
    </row>
    <row r="196" spans="1:36" ht="41.25" customHeight="1" x14ac:dyDescent="0.2">
      <c r="B196" s="13" t="s">
        <v>527</v>
      </c>
      <c r="C196" s="15" t="s">
        <v>524</v>
      </c>
      <c r="D196" s="21">
        <v>2210</v>
      </c>
      <c r="E196" s="7">
        <v>5000</v>
      </c>
      <c r="F196" s="8"/>
      <c r="G196" s="7">
        <f t="shared" si="8"/>
        <v>5000</v>
      </c>
      <c r="H196" s="8"/>
      <c r="I196" s="8"/>
      <c r="J196" s="8"/>
      <c r="K196" s="8"/>
      <c r="L196" s="8"/>
      <c r="M196" s="8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>
        <f t="shared" si="6"/>
        <v>5000</v>
      </c>
      <c r="AH196" s="7"/>
      <c r="AI196" s="7"/>
      <c r="AJ196" s="81"/>
    </row>
    <row r="197" spans="1:36" ht="31.15" customHeight="1" x14ac:dyDescent="0.2">
      <c r="B197" s="13" t="s">
        <v>373</v>
      </c>
      <c r="C197" s="15" t="s">
        <v>374</v>
      </c>
      <c r="D197" s="21">
        <v>2210</v>
      </c>
      <c r="E197" s="7">
        <v>5000</v>
      </c>
      <c r="F197" s="8"/>
      <c r="G197" s="7">
        <f t="shared" si="8"/>
        <v>5000</v>
      </c>
      <c r="H197" s="8"/>
      <c r="I197" s="8"/>
      <c r="J197" s="8"/>
      <c r="K197" s="8"/>
      <c r="L197" s="8"/>
      <c r="M197" s="8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>
        <f t="shared" si="6"/>
        <v>5000</v>
      </c>
      <c r="AH197" s="7"/>
      <c r="AI197" s="7"/>
      <c r="AJ197" s="81"/>
    </row>
    <row r="198" spans="1:36" s="2" customFormat="1" ht="15.6" customHeight="1" x14ac:dyDescent="0.2">
      <c r="B198" s="83" t="s">
        <v>435</v>
      </c>
      <c r="C198" s="84"/>
      <c r="D198" s="4"/>
      <c r="E198" s="60">
        <f>SUM(E191:E197)</f>
        <v>70000</v>
      </c>
      <c r="F198" s="60"/>
      <c r="G198" s="60">
        <f t="shared" ref="G198" si="9">SUM(G191:G197)</f>
        <v>70000</v>
      </c>
      <c r="H198" s="8"/>
      <c r="I198" s="82"/>
      <c r="J198" s="8"/>
      <c r="K198" s="8"/>
      <c r="L198" s="8"/>
      <c r="M198" s="8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60">
        <f>SUM(AG191:AG197)</f>
        <v>70000</v>
      </c>
      <c r="AH198" s="7"/>
      <c r="AI198" s="7"/>
      <c r="AJ198" s="81"/>
    </row>
    <row r="199" spans="1:36" ht="35.450000000000003" customHeight="1" x14ac:dyDescent="0.2">
      <c r="A199" s="2"/>
      <c r="B199" s="122" t="s">
        <v>533</v>
      </c>
      <c r="C199" s="122"/>
      <c r="D199" s="122"/>
      <c r="E199" s="122"/>
      <c r="F199" s="122"/>
      <c r="G199" s="122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122"/>
      <c r="AJ199" s="41"/>
    </row>
    <row r="200" spans="1:36" ht="31.15" customHeight="1" x14ac:dyDescent="0.25">
      <c r="B200" s="42" t="s">
        <v>211</v>
      </c>
      <c r="C200" s="42"/>
      <c r="D200" s="123" t="s">
        <v>212</v>
      </c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41"/>
      <c r="AI200" s="41"/>
      <c r="AJ200" s="41"/>
    </row>
    <row r="201" spans="1:36" ht="15.75" x14ac:dyDescent="0.25">
      <c r="B201" s="46"/>
      <c r="C201" s="46"/>
      <c r="D201" s="47" t="s">
        <v>214</v>
      </c>
      <c r="E201" s="48"/>
      <c r="F201" s="46"/>
      <c r="G201" s="49" t="s">
        <v>215</v>
      </c>
      <c r="H201" s="49"/>
      <c r="I201" s="50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1"/>
      <c r="AH201" s="41"/>
      <c r="AI201" s="41"/>
      <c r="AJ201" s="41"/>
    </row>
    <row r="202" spans="1:36" ht="36" customHeight="1" x14ac:dyDescent="0.25">
      <c r="B202" s="42" t="s">
        <v>534</v>
      </c>
      <c r="C202" s="42"/>
      <c r="D202" s="123" t="s">
        <v>535</v>
      </c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3"/>
      <c r="AH202" s="41"/>
      <c r="AI202" s="41"/>
      <c r="AJ202" s="41"/>
    </row>
    <row r="203" spans="1:36" ht="10.9" customHeight="1" x14ac:dyDescent="0.25">
      <c r="B203" s="2"/>
      <c r="C203" s="2"/>
      <c r="D203" s="47" t="s">
        <v>214</v>
      </c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1"/>
      <c r="AI203" s="41"/>
      <c r="AJ203" s="41"/>
    </row>
    <row r="204" spans="1:36" ht="3" customHeight="1" x14ac:dyDescent="0.2">
      <c r="B204" s="52"/>
      <c r="C204" s="52"/>
      <c r="D204" s="53"/>
      <c r="E204" s="2"/>
      <c r="F204" s="54"/>
      <c r="G204" s="54"/>
      <c r="H204" s="5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41"/>
      <c r="AH204" s="41"/>
      <c r="AI204" s="41"/>
      <c r="AJ204" s="41"/>
    </row>
    <row r="205" spans="1:36" ht="28.9" customHeight="1" x14ac:dyDescent="0.2">
      <c r="B205" s="52"/>
      <c r="C205" s="52"/>
      <c r="D205" s="55"/>
      <c r="E205" s="56" t="e">
        <f>SUM(G10:G80)+G116+G143+SUM(G145:G174)+G198+#REF!</f>
        <v>#REF!</v>
      </c>
      <c r="F205" s="54"/>
      <c r="G205" s="57"/>
      <c r="H205" s="5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41"/>
      <c r="AH205" s="41"/>
      <c r="AI205" s="41"/>
      <c r="AJ205" s="41"/>
    </row>
    <row r="206" spans="1:36" ht="28.9" customHeight="1" x14ac:dyDescent="0.2">
      <c r="B206" s="52"/>
      <c r="C206" s="52"/>
      <c r="D206" s="53"/>
      <c r="E206" s="2"/>
      <c r="F206" s="54"/>
      <c r="G206" s="54"/>
      <c r="H206" s="5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41" t="e">
        <f>SUM(AG8:AG80)+AG116+AG143+SUM(AG144:AG175)+AG178+AG179+AG182+AG189+AG198+#REF!</f>
        <v>#REF!</v>
      </c>
      <c r="AH206" s="41"/>
      <c r="AI206" s="41"/>
      <c r="AJ206" s="41"/>
    </row>
    <row r="207" spans="1:36" ht="28.9" customHeight="1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41"/>
      <c r="AH207" s="41"/>
      <c r="AI207" s="41"/>
      <c r="AJ207" s="41"/>
    </row>
    <row r="208" spans="1:36" ht="28.9" customHeight="1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41"/>
      <c r="AH208" s="41"/>
      <c r="AI208" s="41"/>
      <c r="AJ208" s="41"/>
    </row>
    <row r="209" spans="2:36" ht="38.25" customHeight="1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41"/>
      <c r="AH209" s="41"/>
      <c r="AI209" s="41"/>
      <c r="AJ209" s="41"/>
    </row>
    <row r="210" spans="2:36" ht="38.25" customHeight="1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41"/>
      <c r="AH210" s="41"/>
      <c r="AI210" s="41"/>
      <c r="AJ210" s="41"/>
    </row>
    <row r="211" spans="2:36" ht="38.25" customHeight="1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41"/>
      <c r="AH211" s="41"/>
      <c r="AI211" s="41"/>
      <c r="AJ211" s="41"/>
    </row>
    <row r="212" spans="2:36" ht="38.25" customHeight="1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41"/>
      <c r="AH212" s="41"/>
      <c r="AI212" s="41"/>
      <c r="AJ212" s="41"/>
    </row>
    <row r="213" spans="2:36" ht="38.25" customHeight="1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</row>
  </sheetData>
  <mergeCells count="43">
    <mergeCell ref="B199:AI199"/>
    <mergeCell ref="D200:AG200"/>
    <mergeCell ref="D202:AG202"/>
    <mergeCell ref="AI4:AI5"/>
    <mergeCell ref="AJ4:AJ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AM5:AM6"/>
    <mergeCell ref="B6:C6"/>
    <mergeCell ref="B7:H7"/>
    <mergeCell ref="B190:G190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P4:P5"/>
    <mergeCell ref="A1:AJ1"/>
    <mergeCell ref="A2:AJ2"/>
    <mergeCell ref="A3:AJ3"/>
    <mergeCell ref="B4:C5"/>
    <mergeCell ref="D4:D5"/>
    <mergeCell ref="E4:F4"/>
    <mergeCell ref="G4:G5"/>
    <mergeCell ref="H4:H5"/>
    <mergeCell ref="I4:I5"/>
    <mergeCell ref="J4:J5"/>
  </mergeCells>
  <hyperlinks>
    <hyperlink ref="B151" r:id="rId1" display="http://dk16.dovidnyk.info/index.php?rozd=16868"/>
    <hyperlink ref="B153" r:id="rId2" display="http://dk16.dovidnyk.info/index.php?rozd=16953"/>
    <hyperlink ref="B142" r:id="rId3" display="http://dk16.dovidnyk.info/index.php?rozd=9872"/>
    <hyperlink ref="C160" r:id="rId4" display="http://dk16.dovidnyk.info/index.php?rozd=19731"/>
    <hyperlink ref="C173" r:id="rId5" display="http://dk16.dovidnyk.info/index.php?rozd=21156"/>
    <hyperlink ref="C170" r:id="rId6" display="http://dk16.dovidnyk.info/index.php?rozd=20759"/>
    <hyperlink ref="C174" r:id="rId7" display="http://dk16.dovidnyk.info/index.php?rozd=21201"/>
    <hyperlink ref="C164" r:id="rId8" display="http://dk16.dovidnyk.info/index.php?rozd=19859"/>
    <hyperlink ref="C163" r:id="rId9" display="http://dk16.dovidnyk.info/index.php?rozd=19816"/>
    <hyperlink ref="C151" r:id="rId10" display="http://dk16.dovidnyk.info/index.php?rozd=16868"/>
    <hyperlink ref="C169" r:id="rId11" display="http://dk16.dovidnyk.info/index.php?rozd=20630"/>
    <hyperlink ref="C153" r:id="rId12" display="http://dk16.dovidnyk.info/index.php?rozd=16953"/>
    <hyperlink ref="C166" r:id="rId13" display="http://dk16.dovidnyk.info/index.php?rozd=20211"/>
    <hyperlink ref="C156" r:id="rId14" display="http://dk16.dovidnyk.info/index.php?rozd=19647"/>
    <hyperlink ref="B156" r:id="rId15" display="http://dk16.dovidnyk.info/index.php?rozd=19647"/>
    <hyperlink ref="C157" r:id="rId16" display="http://dk16.dovidnyk.info/index.php?rozd=19660"/>
    <hyperlink ref="B157" r:id="rId17" display="http://dk16.dovidnyk.info/index.php?rozd=19660"/>
    <hyperlink ref="C150" r:id="rId18" display="http://dk16.dovidnyk.info/index.php?rozd=16838"/>
    <hyperlink ref="B150" r:id="rId19" display="http://dk16.dovidnyk.info/index.php?rozd=16838"/>
    <hyperlink ref="B20" r:id="rId20" display="http://dkpp.rv.ua/index.php?level=20.11.1"/>
    <hyperlink ref="B158" r:id="rId21" display="http://dkpp.rv.ua/index.php?level=62.01.11"/>
    <hyperlink ref="B169" r:id="rId22" display="http://dk16.dovidnyk.info/index.php?rozd=20630"/>
    <hyperlink ref="B172" r:id="rId23" display="http://dkpp.rv.ua/index.php?level=86.90.1"/>
    <hyperlink ref="B179" r:id="rId24" display="http://dk16.dovidnyk.info/index.php?rozd=9872"/>
    <hyperlink ref="C179" r:id="rId25" display="http://dk16.dovidnyk.info/index.php?rozd=9694"/>
    <hyperlink ref="B140" r:id="rId26" display="http://dkpp.rv.ua/index.php?level=10.86.1"/>
    <hyperlink ref="B114" r:id="rId27" display="http://dkpp.rv.ua/index.php?level=26.51.5"/>
    <hyperlink ref="B196" r:id="rId28" display="http://dk16.dovidnyk.info/index.php?rozd=19408"/>
    <hyperlink ref="C196" r:id="rId29" display="http://dk16.dovidnyk.info/index.php?rozd=19408"/>
    <hyperlink ref="C195" r:id="rId30" display="http://dk16.dovidnyk.info/index.php?rozd=12291"/>
    <hyperlink ref="B195" r:id="rId31" display="http://dkpp.rv.ua/index.php?level=32.50.1"/>
    <hyperlink ref="B29" r:id="rId32" display="http://dkpp.rv.ua/index.php?level=20.30.2"/>
    <hyperlink ref="C82" r:id="rId33" display="http://dk16.dovidnyk.info/index.php?rozd=9524"/>
    <hyperlink ref="B87" r:id="rId34" display="http://dkpp.rv.ua/index.php?level=20.13.6"/>
    <hyperlink ref="B101" r:id="rId35" display="http://dkpp.rv.ua/index.php?level=20.59.6"/>
    <hyperlink ref="B112" r:id="rId36" display="http://dkpp.rv.ua/index.php?level=22.29.2"/>
    <hyperlink ref="B167" r:id="rId37" display="http://dkpp.rv.ua/index.php?level=74.90.1"/>
    <hyperlink ref="C147" r:id="rId38" display="http://dk16.dovidnyk.info/index.php?rozd=9694"/>
    <hyperlink ref="B152" r:id="rId39" display="http://dkpp.rv.ua/index.php?level=38.32.1"/>
    <hyperlink ref="B147" r:id="rId40" display="http://dkpp.rv.ua/index.php?level=33.13.1"/>
    <hyperlink ref="B45" r:id="rId41" display="http://dkpp.rv.ua/index.php?level=22.29.2"/>
    <hyperlink ref="B18" r:id="rId42" display="http://dkpp.rv.ua/index.php?level=17.29.1"/>
    <hyperlink ref="B146" r:id="rId43" display="http://dk16.dovidnyk.info/index.php?rozd=14751"/>
    <hyperlink ref="C175" r:id="rId44" display="http://dk16.dovidnyk.info/index.php?rozd=21201"/>
    <hyperlink ref="B175" r:id="rId45" display="http://dkpp.rv.ua/index.php?level=96.09.1"/>
    <hyperlink ref="B184" r:id="rId46" display="http://dkpp.rv.ua/index.php?level=26.51.6"/>
    <hyperlink ref="C44" r:id="rId47" tooltip="Дерево коду 22.23.1" display="http://dkpp.rv.ua/index.php?search=22.23.1&amp;type=code"/>
    <hyperlink ref="B44" r:id="rId48" display="http://dkpp.rv.ua/index.php?level=22.23.1"/>
    <hyperlink ref="B25" r:id="rId49" display="http://dkpp.rv.ua/index.php?level=20.14.3"/>
    <hyperlink ref="B149" r:id="rId50" display="http://dkpp.rv.ua/index.php?level=38.11.2"/>
    <hyperlink ref="B73" r:id="rId51" display="http://dkpp.rv.ua/index.php?level=31.03.1"/>
    <hyperlink ref="B10" r:id="rId52" display="http://dkpp.rv.ua/index.php?level=14.19.2"/>
    <hyperlink ref="B15" r:id="rId53" display="http://dkpp.rv.ua/index.php?level=17.12.7"/>
    <hyperlink ref="B11" r:id="rId54" display="http://dkpp.rv.ua/index.php?level=16.29.1"/>
    <hyperlink ref="B13" r:id="rId55" display="http://dkpp.rv.ua/index.php?level=17.12.1"/>
    <hyperlink ref="B14" r:id="rId56" display="http://dkpp.rv.ua/index.php?level=17.12.2"/>
    <hyperlink ref="B42" r:id="rId57" display="http://dkpp.rv.ua/index.php?level=22.21.2"/>
    <hyperlink ref="B47" r:id="rId58" display="http://dkpp.rv.ua/index.php?level=23.20.1"/>
    <hyperlink ref="B48" r:id="rId59" display="http://dkpp.rv.ua/index.php?level=23.51.1"/>
    <hyperlink ref="B50" r:id="rId60" display="http://dkpp.rv.ua/index.php?level=24.20.4"/>
    <hyperlink ref="B52" r:id="rId61" display="http://dkpp.rv.ua/index.php?level=25.72.1"/>
    <hyperlink ref="B55" r:id="rId62" display="http://dkpp.rv.ua/index.php?level=25.73.3"/>
    <hyperlink ref="B54" r:id="rId63" display="http://dkpp.rv.ua/index.php?level=25.73.2"/>
    <hyperlink ref="B53" r:id="rId64" display="http://dkpp.rv.ua/index.php?level=25.73.1"/>
    <hyperlink ref="B59" r:id="rId65" display="http://dkpp.rv.ua/index.php?level=25.73.2"/>
    <hyperlink ref="B64" r:id="rId66" display="http://dkpp.rv.ua/index.php?level=27.40.1"/>
    <hyperlink ref="B66" r:id="rId67" display="http://dkpp.rv.ua/index.php?level=28.14.1"/>
    <hyperlink ref="B67" r:id="rId68" display="http://dkpp.rv.ua/index.php?level=28.30.4"/>
    <hyperlink ref="B35" r:id="rId69" display="http://dkpp.rv.ua/index.php?level=21.10.6"/>
    <hyperlink ref="B186" r:id="rId70" display="http://dkpp.rv.ua/index.php?level=26.60.1"/>
    <hyperlink ref="B188" r:id="rId71" display="http://dkpp.rv.ua/index.php?level=58.11.1"/>
    <hyperlink ref="B77" r:id="rId72" display="http://dkpp.rv.ua/index.php?level=32.91.1"/>
    <hyperlink ref="C168" r:id="rId73" display="http://dk16.dovidnyk.info/index.php?rozd=20759"/>
    <hyperlink ref="B168" r:id="rId74" display="http://dkpp.rv.ua/index.php?level=80.20.1"/>
    <hyperlink ref="B111" r:id="rId75" display="http://dkpp.rv.ua/index.php?level=22.22.1"/>
    <hyperlink ref="B31" r:id="rId76" display="http://dkpp.rv.ua/index.php?level=20.52.1"/>
    <hyperlink ref="B60" r:id="rId77" display="http://dkpp.rv.ua/index.php?level=26.11.3"/>
    <hyperlink ref="B78" r:id="rId78" display="http://dkpp.rv.ua/index.php?level=32.99.1"/>
    <hyperlink ref="B43" r:id="rId79" display="http://dkpp.rv.ua/index.php?level=22.21.4"/>
    <hyperlink ref="B49" r:id="rId80" display="http://dkpp.rv.ua/index.php?level=23.52.2"/>
    <hyperlink ref="B51" r:id="rId81" display="http://dkpp.rv.ua/index.php?level=25.71.1"/>
    <hyperlink ref="B148" r:id="rId82" display="http://dkpp.rv.ua/index.php?level=33.14.1"/>
    <hyperlink ref="B161" r:id="rId83" display="http://dkpp.rv.ua/index.php?level=63.11.1"/>
    <hyperlink ref="B181" r:id="rId84" display="http://dkpp.rv.ua/index.php?level=84.12.1"/>
    <hyperlink ref="B185" r:id="rId85" display="http://dkpp.rv.ua/index.php?level=26.20.1"/>
    <hyperlink ref="B171" r:id="rId86" display="http://dkpp.rv.ua/index.php?level=86.10.1"/>
    <hyperlink ref="B70" r:id="rId87" display="http://dk16.dovidnyk.info/index.php?rozd=14094"/>
    <hyperlink ref="C33" r:id="rId88" display="http://dk16.dovidnyk.info/index.php?rozd=10488"/>
    <hyperlink ref="B33" r:id="rId89" display="http://dk16.dovidnyk.info/index.php?rozd=10488"/>
    <hyperlink ref="B76" r:id="rId90" display="http://dkpp.rv.ua/index.php?level=32.50.1"/>
    <hyperlink ref="B154" r:id="rId91" display="http://dkpp.rv.ua/index.php?level=43.22.1"/>
    <hyperlink ref="C154" r:id="rId92" tooltip="Дерево коду 43.22.1" display="http://dkpp.rv.ua/index.php?search=43.22.1&amp;type=code"/>
    <hyperlink ref="C70" r:id="rId93" display="http://dk16.dovidnyk.info/index.php?rozd=14094"/>
    <hyperlink ref="B8" r:id="rId94" display="http://dkpp.rv.ua/index.php?level=13.10.7"/>
    <hyperlink ref="B9" r:id="rId95" display="http://dkpp.rv.ua/index.php?level=13.20.3"/>
    <hyperlink ref="B12" r:id="rId96" display="http://dkpp.rv.ua/index.php?level=16.29.2"/>
    <hyperlink ref="B63" r:id="rId97" display="http://dkpp.rv.ua/index.php?level=27.40.1"/>
    <hyperlink ref="B69" r:id="rId98" display="http://dkpp.rv.ua/index.php?level=29.31.2"/>
    <hyperlink ref="B16" r:id="rId99" display="http://dkpp.rv.ua/index.php?level=17.22.1"/>
    <hyperlink ref="B57" r:id="rId100" display="http://dkpp.rv.ua/index.php?level=25.94.1"/>
    <hyperlink ref="B58" r:id="rId101" display="http://dkpp.rv.ua/index.php?level=25.99.1"/>
    <hyperlink ref="C145" r:id="rId102" display="http://dk16.dovidnyk.info/index.php?rozd=9694"/>
    <hyperlink ref="C144" r:id="rId103" display="http://dk16.dovidnyk.info/index.php?rozd=484"/>
    <hyperlink ref="B68" r:id="rId104" display="http://dkpp.rv.ua/index.php?level=29.10.1"/>
    <hyperlink ref="B177" r:id="rId105" display="http://dkpp.rv.ua/index.php?level=37.00.1"/>
    <hyperlink ref="B38" r:id="rId106" display="http://dkpp.rv.ua/index.php?level=22.19.2"/>
    <hyperlink ref="B41" r:id="rId107" display="http://dkpp.rv.ua/index.php?level=22.19.7"/>
    <hyperlink ref="B128" r:id="rId108" display="http://dkpp.rv.ua/index.php?level=10.51.3"/>
    <hyperlink ref="B127" r:id="rId109" display="http://dkpp.rv.ua/index.php?level=10.51.1"/>
    <hyperlink ref="B24" r:id="rId110" display="http://dkpp.rv.ua/index.php?level=20.13.5"/>
    <hyperlink ref="B62" r:id="rId111" display="http://dkpp.rv.ua/index.php?level=27.33.1"/>
    <hyperlink ref="B61" r:id="rId112" display="http://dkpp.rv.ua/index.php?level=26.20.1"/>
    <hyperlink ref="B162" r:id="rId113" display="http://dkpp.rv.ua/index.php?level=63.99.1"/>
    <hyperlink ref="C165" r:id="rId114" display="http://dk16.dovidnyk.info/index.php?rozd=19868"/>
  </hyperlinks>
  <pageMargins left="0" right="0.06" top="0.43307086614173229" bottom="0.19685039370078741" header="0.27559055118110237" footer="0.23622047244094491"/>
  <pageSetup paperSize="9" scale="90" orientation="portrait" horizontalDpi="200" verticalDpi="200" r:id="rId115"/>
  <headerFooter scaleWithDoc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18"/>
  <sheetViews>
    <sheetView topLeftCell="A276" zoomScaleNormal="100" zoomScaleSheetLayoutView="115" workbookViewId="0">
      <selection activeCell="A278" sqref="A278:XFD278"/>
    </sheetView>
  </sheetViews>
  <sheetFormatPr defaultColWidth="15.5703125" defaultRowHeight="38.25" customHeight="1" x14ac:dyDescent="0.2"/>
  <cols>
    <col min="1" max="1" width="2.28515625" style="5" customWidth="1"/>
    <col min="2" max="2" width="36.85546875" style="5" customWidth="1"/>
    <col min="3" max="3" width="8.7109375" style="5" customWidth="1"/>
    <col min="4" max="4" width="9.28515625" style="5" customWidth="1"/>
    <col min="5" max="5" width="11.42578125" style="5" hidden="1" customWidth="1"/>
    <col min="6" max="6" width="12.42578125" style="5" hidden="1" customWidth="1"/>
    <col min="7" max="7" width="10.5703125" style="5" hidden="1" customWidth="1"/>
    <col min="8" max="8" width="5.5703125" style="5" hidden="1" customWidth="1"/>
    <col min="9" max="9" width="10.7109375" style="5" hidden="1" customWidth="1"/>
    <col min="10" max="10" width="9.28515625" style="5" hidden="1" customWidth="1"/>
    <col min="11" max="11" width="9.42578125" style="5" hidden="1" customWidth="1"/>
    <col min="12" max="12" width="11.28515625" style="5" hidden="1" customWidth="1"/>
    <col min="13" max="13" width="9.5703125" style="5" hidden="1" customWidth="1"/>
    <col min="14" max="14" width="9.28515625" style="5" hidden="1" customWidth="1"/>
    <col min="15" max="15" width="8.7109375" style="5" hidden="1" customWidth="1"/>
    <col min="16" max="16" width="13.42578125" style="5" hidden="1" customWidth="1"/>
    <col min="17" max="17" width="13.7109375" style="5" hidden="1" customWidth="1"/>
    <col min="18" max="18" width="8" style="5" hidden="1" customWidth="1"/>
    <col min="19" max="19" width="11.7109375" style="5" hidden="1" customWidth="1"/>
    <col min="20" max="25" width="15.5703125" style="5" hidden="1" customWidth="1"/>
    <col min="26" max="27" width="11.85546875" style="5" hidden="1" customWidth="1"/>
    <col min="28" max="28" width="10.7109375" style="5" hidden="1" customWidth="1"/>
    <col min="29" max="29" width="12" style="5" hidden="1" customWidth="1"/>
    <col min="30" max="31" width="11.85546875" style="5" hidden="1" customWidth="1"/>
    <col min="32" max="32" width="0.28515625" style="5" hidden="1" customWidth="1"/>
    <col min="33" max="33" width="14.85546875" style="5" customWidth="1"/>
    <col min="34" max="34" width="11.7109375" style="5" customWidth="1"/>
    <col min="35" max="35" width="14.140625" style="5" customWidth="1"/>
    <col min="36" max="36" width="15.140625" style="5" customWidth="1"/>
    <col min="37" max="37" width="10.7109375" style="5" customWidth="1"/>
    <col min="38" max="39" width="12" style="5" customWidth="1"/>
    <col min="40" max="16384" width="15.5703125" style="5"/>
  </cols>
  <sheetData>
    <row r="1" spans="1:39" s="1" customFormat="1" ht="33.6" customHeight="1" x14ac:dyDescent="0.25">
      <c r="A1" s="136" t="s">
        <v>536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</row>
    <row r="2" spans="1:39" s="1" customFormat="1" ht="15.6" customHeight="1" x14ac:dyDescent="0.25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</row>
    <row r="3" spans="1:39" s="1" customFormat="1" ht="53.45" customHeight="1" thickBot="1" x14ac:dyDescent="0.3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</row>
    <row r="4" spans="1:39" s="2" customFormat="1" ht="38.25" customHeight="1" x14ac:dyDescent="0.2">
      <c r="B4" s="137" t="s">
        <v>3</v>
      </c>
      <c r="C4" s="128"/>
      <c r="D4" s="128" t="s">
        <v>217</v>
      </c>
      <c r="E4" s="128" t="s">
        <v>5</v>
      </c>
      <c r="F4" s="128"/>
      <c r="G4" s="124" t="s">
        <v>6</v>
      </c>
      <c r="H4" s="128" t="s">
        <v>7</v>
      </c>
      <c r="I4" s="128" t="s">
        <v>8</v>
      </c>
      <c r="J4" s="128" t="s">
        <v>9</v>
      </c>
      <c r="K4" s="128" t="s">
        <v>10</v>
      </c>
      <c r="L4" s="128" t="s">
        <v>11</v>
      </c>
      <c r="M4" s="128" t="s">
        <v>12</v>
      </c>
      <c r="N4" s="128" t="s">
        <v>13</v>
      </c>
      <c r="O4" s="128" t="s">
        <v>14</v>
      </c>
      <c r="P4" s="128" t="s">
        <v>15</v>
      </c>
      <c r="Q4" s="128" t="s">
        <v>16</v>
      </c>
      <c r="R4" s="128" t="s">
        <v>17</v>
      </c>
      <c r="S4" s="128" t="s">
        <v>18</v>
      </c>
      <c r="T4" s="128" t="s">
        <v>19</v>
      </c>
      <c r="U4" s="128" t="s">
        <v>20</v>
      </c>
      <c r="V4" s="128" t="s">
        <v>21</v>
      </c>
      <c r="W4" s="128" t="s">
        <v>22</v>
      </c>
      <c r="X4" s="128" t="s">
        <v>23</v>
      </c>
      <c r="Y4" s="128" t="s">
        <v>24</v>
      </c>
      <c r="Z4" s="128" t="s">
        <v>25</v>
      </c>
      <c r="AA4" s="128" t="s">
        <v>26</v>
      </c>
      <c r="AB4" s="128" t="s">
        <v>27</v>
      </c>
      <c r="AC4" s="128" t="s">
        <v>28</v>
      </c>
      <c r="AD4" s="128" t="s">
        <v>29</v>
      </c>
      <c r="AE4" s="128" t="s">
        <v>30</v>
      </c>
      <c r="AF4" s="128" t="s">
        <v>31</v>
      </c>
      <c r="AG4" s="124" t="s">
        <v>6</v>
      </c>
      <c r="AH4" s="124" t="s">
        <v>33</v>
      </c>
      <c r="AI4" s="124" t="s">
        <v>34</v>
      </c>
      <c r="AJ4" s="126" t="s">
        <v>7</v>
      </c>
    </row>
    <row r="5" spans="1:39" s="2" customFormat="1" ht="67.900000000000006" customHeight="1" x14ac:dyDescent="0.2">
      <c r="B5" s="133"/>
      <c r="C5" s="129"/>
      <c r="D5" s="129"/>
      <c r="E5" s="3" t="s">
        <v>35</v>
      </c>
      <c r="F5" s="4" t="s">
        <v>36</v>
      </c>
      <c r="G5" s="125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5"/>
      <c r="AH5" s="125"/>
      <c r="AI5" s="125"/>
      <c r="AJ5" s="127"/>
      <c r="AM5" s="130"/>
    </row>
    <row r="6" spans="1:39" ht="21.75" customHeight="1" x14ac:dyDescent="0.2">
      <c r="B6" s="131">
        <v>1</v>
      </c>
      <c r="C6" s="132"/>
      <c r="D6" s="6">
        <v>2</v>
      </c>
      <c r="E6" s="6">
        <v>4</v>
      </c>
      <c r="F6" s="6">
        <v>5</v>
      </c>
      <c r="G6" s="6">
        <v>6</v>
      </c>
      <c r="H6" s="6">
        <v>7</v>
      </c>
      <c r="I6" s="7"/>
      <c r="J6" s="7"/>
      <c r="K6" s="7"/>
      <c r="L6" s="8"/>
      <c r="M6" s="8"/>
      <c r="N6" s="8"/>
      <c r="O6" s="8"/>
      <c r="P6" s="8"/>
      <c r="Q6" s="8"/>
      <c r="R6" s="8"/>
      <c r="S6" s="8"/>
      <c r="T6" s="9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>
        <v>3</v>
      </c>
      <c r="AH6" s="6">
        <v>4</v>
      </c>
      <c r="AI6" s="6">
        <v>5</v>
      </c>
      <c r="AJ6" s="10">
        <v>6</v>
      </c>
      <c r="AM6" s="130"/>
    </row>
    <row r="7" spans="1:39" ht="15.75" x14ac:dyDescent="0.2">
      <c r="B7" s="133" t="s">
        <v>37</v>
      </c>
      <c r="C7" s="129"/>
      <c r="D7" s="129"/>
      <c r="E7" s="129"/>
      <c r="F7" s="129"/>
      <c r="G7" s="129"/>
      <c r="H7" s="129"/>
      <c r="I7" s="7"/>
      <c r="J7" s="7"/>
      <c r="K7" s="7"/>
      <c r="L7" s="8"/>
      <c r="M7" s="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9"/>
      <c r="AH7" s="9"/>
      <c r="AI7" s="9"/>
      <c r="AJ7" s="11"/>
      <c r="AM7" s="2"/>
    </row>
    <row r="8" spans="1:39" ht="78.75" x14ac:dyDescent="0.2">
      <c r="B8" s="13" t="s">
        <v>218</v>
      </c>
      <c r="C8" s="7" t="s">
        <v>219</v>
      </c>
      <c r="D8" s="21">
        <v>2210</v>
      </c>
      <c r="E8" s="4"/>
      <c r="F8" s="4"/>
      <c r="G8" s="4"/>
      <c r="H8" s="4"/>
      <c r="I8" s="7"/>
      <c r="J8" s="7"/>
      <c r="K8" s="7"/>
      <c r="L8" s="8"/>
      <c r="M8" s="8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>
        <v>38.729999999999997</v>
      </c>
      <c r="AB8" s="7"/>
      <c r="AC8" s="7"/>
      <c r="AD8" s="7"/>
      <c r="AE8" s="7"/>
      <c r="AF8" s="7"/>
      <c r="AG8" s="7">
        <f t="shared" ref="AG8:AG73" si="0">G8+I8+J8+K8+L8+M8+N8+O8+P8+Q8+R8+S8+T8+U8+V8+W8+X8+Y8+Z8+AA8+AB8+AC8+AD8+AE8+AF8</f>
        <v>38.729999999999997</v>
      </c>
      <c r="AH8" s="9"/>
      <c r="AI8" s="9"/>
      <c r="AJ8" s="58"/>
      <c r="AM8" s="2"/>
    </row>
    <row r="9" spans="1:39" ht="47.25" x14ac:dyDescent="0.2">
      <c r="B9" s="13" t="s">
        <v>220</v>
      </c>
      <c r="C9" s="7" t="s">
        <v>221</v>
      </c>
      <c r="D9" s="21">
        <v>2210</v>
      </c>
      <c r="E9" s="4"/>
      <c r="F9" s="4"/>
      <c r="G9" s="4"/>
      <c r="H9" s="4"/>
      <c r="I9" s="7"/>
      <c r="J9" s="7"/>
      <c r="K9" s="7"/>
      <c r="L9" s="8"/>
      <c r="M9" s="8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>
        <v>39.64</v>
      </c>
      <c r="AB9" s="7"/>
      <c r="AC9" s="7"/>
      <c r="AD9" s="7"/>
      <c r="AE9" s="7"/>
      <c r="AF9" s="7"/>
      <c r="AG9" s="7">
        <f t="shared" si="0"/>
        <v>39.64</v>
      </c>
      <c r="AH9" s="9"/>
      <c r="AI9" s="9"/>
      <c r="AJ9" s="58"/>
    </row>
    <row r="10" spans="1:39" ht="63" customHeight="1" x14ac:dyDescent="0.2">
      <c r="B10" s="13" t="s">
        <v>222</v>
      </c>
      <c r="C10" s="7" t="s">
        <v>223</v>
      </c>
      <c r="D10" s="21">
        <v>2210</v>
      </c>
      <c r="E10" s="7"/>
      <c r="F10" s="59" t="s">
        <v>224</v>
      </c>
      <c r="G10" s="7">
        <f t="shared" ref="G10:G36" si="1">E10+F10</f>
        <v>1275</v>
      </c>
      <c r="H10" s="33"/>
      <c r="I10" s="7"/>
      <c r="J10" s="7"/>
      <c r="K10" s="7"/>
      <c r="L10" s="8"/>
      <c r="M10" s="8"/>
      <c r="N10" s="7"/>
      <c r="O10" s="7"/>
      <c r="P10" s="7"/>
      <c r="Q10" s="7"/>
      <c r="R10" s="7"/>
      <c r="S10" s="7"/>
      <c r="T10" s="7"/>
      <c r="U10" s="7">
        <v>330</v>
      </c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>
        <f t="shared" si="0"/>
        <v>1605</v>
      </c>
      <c r="AH10" s="7"/>
      <c r="AI10" s="7"/>
      <c r="AJ10" s="58"/>
    </row>
    <row r="11" spans="1:39" ht="40.15" customHeight="1" x14ac:dyDescent="0.2">
      <c r="B11" s="13" t="s">
        <v>225</v>
      </c>
      <c r="C11" s="7" t="s">
        <v>226</v>
      </c>
      <c r="D11" s="21">
        <v>2210</v>
      </c>
      <c r="E11" s="7"/>
      <c r="F11" s="8"/>
      <c r="G11" s="7">
        <f t="shared" si="1"/>
        <v>0</v>
      </c>
      <c r="H11" s="33"/>
      <c r="I11" s="60">
        <v>23.7</v>
      </c>
      <c r="J11" s="7"/>
      <c r="K11" s="7"/>
      <c r="L11" s="8"/>
      <c r="M11" s="8"/>
      <c r="N11" s="7"/>
      <c r="O11" s="7"/>
      <c r="P11" s="7"/>
      <c r="Q11" s="7"/>
      <c r="R11" s="7"/>
      <c r="S11" s="7">
        <f>500+137.37</f>
        <v>637.37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>
        <f t="shared" si="0"/>
        <v>661.07</v>
      </c>
      <c r="AH11" s="7"/>
      <c r="AI11" s="7"/>
      <c r="AJ11" s="58"/>
    </row>
    <row r="12" spans="1:39" ht="47.25" x14ac:dyDescent="0.2">
      <c r="B12" s="13" t="s">
        <v>227</v>
      </c>
      <c r="C12" s="15" t="s">
        <v>228</v>
      </c>
      <c r="D12" s="21">
        <v>2210</v>
      </c>
      <c r="E12" s="7"/>
      <c r="F12" s="59"/>
      <c r="G12" s="7">
        <f t="shared" si="1"/>
        <v>0</v>
      </c>
      <c r="H12" s="33"/>
      <c r="I12" s="60"/>
      <c r="J12" s="7"/>
      <c r="K12" s="7"/>
      <c r="L12" s="8"/>
      <c r="M12" s="7"/>
      <c r="N12" s="7"/>
      <c r="O12" s="7"/>
      <c r="P12" s="7"/>
      <c r="Q12" s="7"/>
      <c r="R12" s="7"/>
      <c r="S12" s="20" t="s">
        <v>229</v>
      </c>
      <c r="T12" s="7"/>
      <c r="U12" s="7"/>
      <c r="V12" s="7"/>
      <c r="W12" s="7"/>
      <c r="X12" s="7"/>
      <c r="Y12" s="7"/>
      <c r="Z12" s="7"/>
      <c r="AA12" s="7">
        <v>110.5</v>
      </c>
      <c r="AB12" s="7"/>
      <c r="AC12" s="7"/>
      <c r="AD12" s="7"/>
      <c r="AE12" s="7"/>
      <c r="AF12" s="7"/>
      <c r="AG12" s="7">
        <f t="shared" si="0"/>
        <v>272.5</v>
      </c>
      <c r="AH12" s="7"/>
      <c r="AI12" s="7"/>
      <c r="AJ12" s="58"/>
    </row>
    <row r="13" spans="1:39" ht="45.6" customHeight="1" x14ac:dyDescent="0.2">
      <c r="B13" s="13" t="s">
        <v>230</v>
      </c>
      <c r="C13" s="15" t="s">
        <v>231</v>
      </c>
      <c r="D13" s="21">
        <v>2210</v>
      </c>
      <c r="E13" s="7"/>
      <c r="F13" s="59"/>
      <c r="G13" s="7">
        <f>E13+F13</f>
        <v>0</v>
      </c>
      <c r="H13" s="33"/>
      <c r="I13" s="60"/>
      <c r="J13" s="7"/>
      <c r="K13" s="7"/>
      <c r="L13" s="8"/>
      <c r="M13" s="7"/>
      <c r="N13" s="7"/>
      <c r="O13" s="7"/>
      <c r="P13" s="7"/>
      <c r="Q13" s="7"/>
      <c r="R13" s="7"/>
      <c r="S13" s="20" t="s">
        <v>232</v>
      </c>
      <c r="T13" s="7"/>
      <c r="U13" s="7"/>
      <c r="V13" s="7"/>
      <c r="W13" s="7"/>
      <c r="X13" s="7"/>
      <c r="Y13" s="7"/>
      <c r="Z13" s="7"/>
      <c r="AA13" s="7">
        <v>137.5</v>
      </c>
      <c r="AB13" s="7"/>
      <c r="AC13" s="7"/>
      <c r="AD13" s="7"/>
      <c r="AE13" s="7"/>
      <c r="AF13" s="7"/>
      <c r="AG13" s="7">
        <f t="shared" si="0"/>
        <v>176.7</v>
      </c>
      <c r="AH13" s="7"/>
      <c r="AI13" s="7"/>
      <c r="AJ13" s="58"/>
    </row>
    <row r="14" spans="1:39" ht="59.45" customHeight="1" x14ac:dyDescent="0.2">
      <c r="B14" s="13" t="s">
        <v>233</v>
      </c>
      <c r="C14" s="15" t="s">
        <v>234</v>
      </c>
      <c r="D14" s="21">
        <v>2210</v>
      </c>
      <c r="E14" s="7"/>
      <c r="F14" s="59"/>
      <c r="G14" s="7"/>
      <c r="H14" s="33"/>
      <c r="I14" s="60"/>
      <c r="J14" s="7"/>
      <c r="K14" s="7"/>
      <c r="L14" s="8"/>
      <c r="M14" s="7"/>
      <c r="N14" s="7"/>
      <c r="O14" s="7"/>
      <c r="P14" s="7"/>
      <c r="Q14" s="7"/>
      <c r="R14" s="7"/>
      <c r="S14" s="20"/>
      <c r="T14" s="7"/>
      <c r="U14" s="7"/>
      <c r="V14" s="7"/>
      <c r="W14" s="7"/>
      <c r="X14" s="7"/>
      <c r="Y14" s="7"/>
      <c r="Z14" s="7"/>
      <c r="AA14" s="7">
        <v>11.5</v>
      </c>
      <c r="AB14" s="7"/>
      <c r="AC14" s="7"/>
      <c r="AD14" s="7"/>
      <c r="AE14" s="7"/>
      <c r="AF14" s="7"/>
      <c r="AG14" s="7">
        <f t="shared" si="0"/>
        <v>11.5</v>
      </c>
      <c r="AH14" s="7"/>
      <c r="AI14" s="7"/>
      <c r="AJ14" s="58"/>
    </row>
    <row r="15" spans="1:39" ht="66" x14ac:dyDescent="0.2">
      <c r="B15" s="19" t="s">
        <v>235</v>
      </c>
      <c r="C15" s="15" t="s">
        <v>236</v>
      </c>
      <c r="D15" s="21">
        <v>2210</v>
      </c>
      <c r="E15" s="7"/>
      <c r="F15" s="59"/>
      <c r="G15" s="7">
        <f t="shared" si="1"/>
        <v>0</v>
      </c>
      <c r="H15" s="33"/>
      <c r="I15" s="60"/>
      <c r="J15" s="7"/>
      <c r="K15" s="7"/>
      <c r="L15" s="8"/>
      <c r="M15" s="7"/>
      <c r="N15" s="7"/>
      <c r="O15" s="7"/>
      <c r="P15" s="7"/>
      <c r="Q15" s="7"/>
      <c r="R15" s="7"/>
      <c r="S15" s="20" t="s">
        <v>237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>
        <f t="shared" si="0"/>
        <v>18</v>
      </c>
      <c r="AH15" s="7"/>
      <c r="AI15" s="7"/>
      <c r="AJ15" s="58"/>
    </row>
    <row r="16" spans="1:39" ht="82.5" x14ac:dyDescent="0.2">
      <c r="B16" s="19" t="s">
        <v>238</v>
      </c>
      <c r="C16" s="15" t="s">
        <v>239</v>
      </c>
      <c r="D16" s="21">
        <v>2210</v>
      </c>
      <c r="E16" s="7"/>
      <c r="F16" s="59"/>
      <c r="G16" s="7">
        <f t="shared" si="1"/>
        <v>0</v>
      </c>
      <c r="H16" s="33"/>
      <c r="I16" s="60"/>
      <c r="J16" s="7"/>
      <c r="K16" s="7"/>
      <c r="L16" s="8"/>
      <c r="M16" s="7"/>
      <c r="N16" s="7"/>
      <c r="O16" s="7"/>
      <c r="P16" s="7"/>
      <c r="Q16" s="7"/>
      <c r="R16" s="7"/>
      <c r="S16" s="20" t="s">
        <v>240</v>
      </c>
      <c r="T16" s="7"/>
      <c r="U16" s="7"/>
      <c r="V16" s="7"/>
      <c r="W16" s="7"/>
      <c r="X16" s="7"/>
      <c r="Y16" s="7"/>
      <c r="Z16" s="7"/>
      <c r="AA16" s="7">
        <v>39.299999999999997</v>
      </c>
      <c r="AB16" s="7"/>
      <c r="AC16" s="7"/>
      <c r="AD16" s="7"/>
      <c r="AE16" s="7"/>
      <c r="AF16" s="7"/>
      <c r="AG16" s="7">
        <f t="shared" si="0"/>
        <v>65.8</v>
      </c>
      <c r="AH16" s="7"/>
      <c r="AI16" s="7"/>
      <c r="AJ16" s="58"/>
    </row>
    <row r="17" spans="2:37" ht="43.9" customHeight="1" x14ac:dyDescent="0.2">
      <c r="B17" s="13" t="s">
        <v>43</v>
      </c>
      <c r="C17" s="59" t="s">
        <v>44</v>
      </c>
      <c r="D17" s="21">
        <v>2210</v>
      </c>
      <c r="E17" s="7"/>
      <c r="F17" s="59"/>
      <c r="G17" s="7">
        <f t="shared" si="1"/>
        <v>0</v>
      </c>
      <c r="H17" s="33"/>
      <c r="I17" s="60"/>
      <c r="J17" s="7"/>
      <c r="K17" s="7"/>
      <c r="L17" s="8"/>
      <c r="M17" s="7">
        <v>800</v>
      </c>
      <c r="N17" s="7">
        <v>388</v>
      </c>
      <c r="O17" s="7"/>
      <c r="P17" s="20" t="s">
        <v>241</v>
      </c>
      <c r="Q17" s="7">
        <v>99</v>
      </c>
      <c r="R17" s="7">
        <v>3400</v>
      </c>
      <c r="S17" s="7"/>
      <c r="T17" s="7"/>
      <c r="U17" s="7"/>
      <c r="V17" s="7"/>
      <c r="W17" s="7"/>
      <c r="X17" s="7"/>
      <c r="Y17" s="7">
        <v>3000</v>
      </c>
      <c r="Z17" s="7"/>
      <c r="AA17" s="7"/>
      <c r="AB17" s="7"/>
      <c r="AC17" s="7"/>
      <c r="AD17" s="7"/>
      <c r="AE17" s="7"/>
      <c r="AF17" s="7"/>
      <c r="AG17" s="7">
        <f t="shared" si="0"/>
        <v>9758.9</v>
      </c>
      <c r="AH17" s="7"/>
      <c r="AI17" s="7"/>
      <c r="AJ17" s="58"/>
    </row>
    <row r="18" spans="2:37" ht="43.9" customHeight="1" x14ac:dyDescent="0.2">
      <c r="B18" s="13" t="s">
        <v>242</v>
      </c>
      <c r="C18" s="59" t="s">
        <v>243</v>
      </c>
      <c r="D18" s="21">
        <v>2210</v>
      </c>
      <c r="E18" s="7"/>
      <c r="F18" s="59"/>
      <c r="G18" s="7"/>
      <c r="H18" s="33"/>
      <c r="I18" s="60"/>
      <c r="J18" s="7"/>
      <c r="K18" s="7"/>
      <c r="L18" s="8"/>
      <c r="M18" s="7"/>
      <c r="N18" s="7"/>
      <c r="O18" s="7"/>
      <c r="P18" s="20"/>
      <c r="Q18" s="7"/>
      <c r="R18" s="7"/>
      <c r="S18" s="7"/>
      <c r="T18" s="7"/>
      <c r="U18" s="7"/>
      <c r="V18" s="7"/>
      <c r="W18" s="7"/>
      <c r="X18" s="7"/>
      <c r="Y18" s="7"/>
      <c r="Z18" s="7"/>
      <c r="AA18" s="7">
        <v>20.75</v>
      </c>
      <c r="AB18" s="7"/>
      <c r="AC18" s="7"/>
      <c r="AD18" s="7"/>
      <c r="AE18" s="7"/>
      <c r="AF18" s="7"/>
      <c r="AG18" s="7">
        <f t="shared" si="0"/>
        <v>20.75</v>
      </c>
      <c r="AH18" s="7"/>
      <c r="AI18" s="7"/>
      <c r="AJ18" s="58"/>
    </row>
    <row r="19" spans="2:37" ht="204.75" x14ac:dyDescent="0.2">
      <c r="B19" s="13" t="s">
        <v>46</v>
      </c>
      <c r="C19" s="7" t="s">
        <v>47</v>
      </c>
      <c r="D19" s="21">
        <v>2210</v>
      </c>
      <c r="E19" s="7">
        <v>2000</v>
      </c>
      <c r="F19" s="7">
        <v>16700</v>
      </c>
      <c r="G19" s="7">
        <f t="shared" si="1"/>
        <v>18700</v>
      </c>
      <c r="H19" s="8"/>
      <c r="I19" s="7"/>
      <c r="J19" s="7"/>
      <c r="K19" s="7"/>
      <c r="L19" s="8"/>
      <c r="M19" s="8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>
        <f t="shared" si="0"/>
        <v>18700</v>
      </c>
      <c r="AH19" s="7"/>
      <c r="AI19" s="7"/>
      <c r="AJ19" s="58"/>
    </row>
    <row r="20" spans="2:37" ht="36.75" customHeight="1" x14ac:dyDescent="0.2">
      <c r="B20" s="13" t="s">
        <v>244</v>
      </c>
      <c r="C20" s="7" t="s">
        <v>245</v>
      </c>
      <c r="D20" s="21">
        <v>2210</v>
      </c>
      <c r="E20" s="7"/>
      <c r="F20" s="59"/>
      <c r="G20" s="7">
        <f t="shared" si="1"/>
        <v>0</v>
      </c>
      <c r="H20" s="33"/>
      <c r="I20" s="7"/>
      <c r="J20" s="7"/>
      <c r="K20" s="7">
        <v>1000</v>
      </c>
      <c r="L20" s="8"/>
      <c r="M20" s="8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>
        <f t="shared" si="0"/>
        <v>1000</v>
      </c>
      <c r="AH20" s="7"/>
      <c r="AI20" s="7"/>
      <c r="AJ20" s="58"/>
    </row>
    <row r="21" spans="2:37" ht="63" x14ac:dyDescent="0.2">
      <c r="B21" s="13" t="s">
        <v>38</v>
      </c>
      <c r="C21" s="7" t="s">
        <v>39</v>
      </c>
      <c r="D21" s="21">
        <v>2210</v>
      </c>
      <c r="E21" s="7">
        <v>5000</v>
      </c>
      <c r="F21" s="7">
        <v>54000</v>
      </c>
      <c r="G21" s="7">
        <f t="shared" si="1"/>
        <v>59000</v>
      </c>
      <c r="H21" s="8"/>
      <c r="I21" s="7"/>
      <c r="J21" s="7"/>
      <c r="K21" s="7"/>
      <c r="L21" s="8"/>
      <c r="M21" s="8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>
        <f t="shared" si="0"/>
        <v>59000</v>
      </c>
      <c r="AH21" s="7"/>
      <c r="AI21" s="7"/>
      <c r="AJ21" s="58"/>
    </row>
    <row r="22" spans="2:37" ht="33.75" customHeight="1" x14ac:dyDescent="0.2">
      <c r="B22" s="13" t="s">
        <v>246</v>
      </c>
      <c r="C22" s="59" t="s">
        <v>247</v>
      </c>
      <c r="D22" s="21">
        <v>2210</v>
      </c>
      <c r="E22" s="7"/>
      <c r="F22" s="7">
        <v>200</v>
      </c>
      <c r="G22" s="7">
        <f t="shared" si="1"/>
        <v>200</v>
      </c>
      <c r="H22" s="8"/>
      <c r="I22" s="7"/>
      <c r="J22" s="7"/>
      <c r="K22" s="7"/>
      <c r="L22" s="8"/>
      <c r="M22" s="8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>
        <f t="shared" si="0"/>
        <v>200</v>
      </c>
      <c r="AH22" s="7"/>
      <c r="AI22" s="7"/>
      <c r="AJ22" s="58"/>
    </row>
    <row r="23" spans="2:37" ht="47.25" x14ac:dyDescent="0.2">
      <c r="B23" s="13" t="s">
        <v>65</v>
      </c>
      <c r="C23" s="59" t="s">
        <v>248</v>
      </c>
      <c r="D23" s="21">
        <v>2210</v>
      </c>
      <c r="E23" s="7"/>
      <c r="F23" s="59"/>
      <c r="G23" s="7">
        <f t="shared" si="1"/>
        <v>0</v>
      </c>
      <c r="H23" s="33"/>
      <c r="I23" s="60"/>
      <c r="J23" s="7"/>
      <c r="K23" s="7"/>
      <c r="L23" s="8"/>
      <c r="M23" s="7">
        <v>135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>
        <f t="shared" si="0"/>
        <v>135</v>
      </c>
      <c r="AH23" s="7"/>
      <c r="AI23" s="7"/>
      <c r="AJ23" s="58"/>
    </row>
    <row r="24" spans="2:37" ht="78.75" x14ac:dyDescent="0.2">
      <c r="B24" s="13" t="s">
        <v>41</v>
      </c>
      <c r="C24" s="7" t="s">
        <v>249</v>
      </c>
      <c r="D24" s="21">
        <v>2210</v>
      </c>
      <c r="E24" s="7"/>
      <c r="F24" s="7">
        <v>10000</v>
      </c>
      <c r="G24" s="7">
        <f t="shared" si="1"/>
        <v>10000</v>
      </c>
      <c r="H24" s="8"/>
      <c r="I24" s="7"/>
      <c r="J24" s="7"/>
      <c r="K24" s="7"/>
      <c r="L24" s="8"/>
      <c r="M24" s="8"/>
      <c r="N24" s="7"/>
      <c r="O24" s="7"/>
      <c r="P24" s="7"/>
      <c r="Q24" s="7"/>
      <c r="R24" s="7"/>
      <c r="S24" s="7">
        <v>2341</v>
      </c>
      <c r="T24" s="7">
        <v>13920</v>
      </c>
      <c r="U24" s="7"/>
      <c r="V24" s="7"/>
      <c r="W24" s="7"/>
      <c r="X24" s="7"/>
      <c r="Y24" s="7"/>
      <c r="Z24" s="7">
        <v>8800</v>
      </c>
      <c r="AA24" s="7"/>
      <c r="AB24" s="7"/>
      <c r="AC24" s="7"/>
      <c r="AD24" s="7"/>
      <c r="AE24" s="7"/>
      <c r="AF24" s="7"/>
      <c r="AG24" s="7">
        <f t="shared" si="0"/>
        <v>35061</v>
      </c>
      <c r="AH24" s="7"/>
      <c r="AI24" s="7"/>
      <c r="AJ24" s="58"/>
    </row>
    <row r="25" spans="2:37" ht="42.75" customHeight="1" x14ac:dyDescent="0.2">
      <c r="B25" s="13" t="s">
        <v>67</v>
      </c>
      <c r="C25" s="21" t="s">
        <v>68</v>
      </c>
      <c r="D25" s="21">
        <v>2210</v>
      </c>
      <c r="E25" s="7"/>
      <c r="F25" s="59"/>
      <c r="G25" s="7">
        <f t="shared" si="1"/>
        <v>0</v>
      </c>
      <c r="H25" s="3"/>
      <c r="I25" s="60"/>
      <c r="J25" s="7"/>
      <c r="K25" s="7"/>
      <c r="L25" s="8"/>
      <c r="M25" s="7">
        <v>140</v>
      </c>
      <c r="N25" s="7">
        <v>213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>
        <f t="shared" si="0"/>
        <v>353</v>
      </c>
      <c r="AH25" s="7"/>
      <c r="AI25" s="7"/>
      <c r="AJ25" s="58"/>
    </row>
    <row r="26" spans="2:37" ht="42.75" customHeight="1" x14ac:dyDescent="0.2">
      <c r="B26" s="13" t="s">
        <v>70</v>
      </c>
      <c r="C26" s="7" t="s">
        <v>71</v>
      </c>
      <c r="D26" s="21">
        <v>2210</v>
      </c>
      <c r="E26" s="7"/>
      <c r="F26" s="59"/>
      <c r="G26" s="7">
        <f t="shared" si="1"/>
        <v>0</v>
      </c>
      <c r="H26" s="33"/>
      <c r="I26" s="60"/>
      <c r="J26" s="7"/>
      <c r="K26" s="7"/>
      <c r="L26" s="8"/>
      <c r="M26" s="7">
        <v>966.7</v>
      </c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>
        <f t="shared" si="0"/>
        <v>966.7</v>
      </c>
      <c r="AH26" s="7"/>
      <c r="AI26" s="7"/>
      <c r="AJ26" s="58"/>
    </row>
    <row r="27" spans="2:37" ht="42.75" customHeight="1" x14ac:dyDescent="0.2">
      <c r="B27" s="13" t="s">
        <v>72</v>
      </c>
      <c r="C27" s="21" t="s">
        <v>73</v>
      </c>
      <c r="D27" s="15">
        <v>2210</v>
      </c>
      <c r="E27" s="7"/>
      <c r="F27" s="59"/>
      <c r="G27" s="7"/>
      <c r="H27" s="33"/>
      <c r="I27" s="60"/>
      <c r="J27" s="7"/>
      <c r="K27" s="7"/>
      <c r="L27" s="8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>
        <v>1944</v>
      </c>
      <c r="Z27" s="7"/>
      <c r="AA27" s="7"/>
      <c r="AB27" s="7"/>
      <c r="AC27" s="7"/>
      <c r="AD27" s="7"/>
      <c r="AE27" s="7"/>
      <c r="AF27" s="7"/>
      <c r="AG27" s="7">
        <f t="shared" si="0"/>
        <v>1944</v>
      </c>
      <c r="AH27" s="7"/>
      <c r="AI27" s="7"/>
      <c r="AJ27" s="58"/>
    </row>
    <row r="28" spans="2:37" ht="32.450000000000003" customHeight="1" x14ac:dyDescent="0.2">
      <c r="B28" s="13" t="s">
        <v>52</v>
      </c>
      <c r="C28" s="7" t="s">
        <v>53</v>
      </c>
      <c r="D28" s="21">
        <v>2210</v>
      </c>
      <c r="E28" s="7"/>
      <c r="F28" s="59"/>
      <c r="G28" s="7">
        <f t="shared" si="1"/>
        <v>0</v>
      </c>
      <c r="H28" s="33"/>
      <c r="I28" s="60"/>
      <c r="J28" s="7"/>
      <c r="K28" s="7"/>
      <c r="L28" s="8"/>
      <c r="M28" s="20" t="s">
        <v>250</v>
      </c>
      <c r="N28" s="7"/>
      <c r="O28" s="7"/>
      <c r="P28" s="7"/>
      <c r="Q28" s="7"/>
      <c r="R28" s="7"/>
      <c r="S28" s="7">
        <v>255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>
        <f t="shared" si="0"/>
        <v>301.60000000000002</v>
      </c>
      <c r="AH28" s="7"/>
      <c r="AI28" s="7"/>
      <c r="AJ28" s="58"/>
    </row>
    <row r="29" spans="2:37" ht="63" x14ac:dyDescent="0.2">
      <c r="B29" s="13" t="s">
        <v>251</v>
      </c>
      <c r="C29" s="7" t="s">
        <v>252</v>
      </c>
      <c r="D29" s="21">
        <v>2210</v>
      </c>
      <c r="E29" s="7"/>
      <c r="F29" s="59" t="s">
        <v>253</v>
      </c>
      <c r="G29" s="7">
        <f t="shared" si="1"/>
        <v>1074</v>
      </c>
      <c r="H29" s="33"/>
      <c r="I29" s="7"/>
      <c r="J29" s="7"/>
      <c r="K29" s="7"/>
      <c r="L29" s="8"/>
      <c r="M29" s="8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>
        <f t="shared" si="0"/>
        <v>1074</v>
      </c>
      <c r="AH29" s="7"/>
      <c r="AI29" s="7"/>
      <c r="AJ29" s="58"/>
    </row>
    <row r="30" spans="2:37" ht="31.5" x14ac:dyDescent="0.2">
      <c r="B30" s="13" t="s">
        <v>77</v>
      </c>
      <c r="C30" s="7" t="s">
        <v>78</v>
      </c>
      <c r="D30" s="21">
        <v>2210</v>
      </c>
      <c r="E30" s="59"/>
      <c r="F30" s="59"/>
      <c r="G30" s="7">
        <f t="shared" si="1"/>
        <v>0</v>
      </c>
      <c r="H30" s="33"/>
      <c r="I30" s="60"/>
      <c r="J30" s="7"/>
      <c r="K30" s="7"/>
      <c r="L30" s="8"/>
      <c r="M30" s="7">
        <f>396.5+1040</f>
        <v>1436.5</v>
      </c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>
        <f t="shared" si="0"/>
        <v>1436.5</v>
      </c>
      <c r="AH30" s="7"/>
      <c r="AI30" s="7"/>
      <c r="AJ30" s="58"/>
    </row>
    <row r="31" spans="2:37" ht="15.75" x14ac:dyDescent="0.2">
      <c r="B31" s="13" t="s">
        <v>254</v>
      </c>
      <c r="C31" s="7" t="s">
        <v>255</v>
      </c>
      <c r="D31" s="21">
        <v>2210</v>
      </c>
      <c r="E31" s="59"/>
      <c r="F31" s="59"/>
      <c r="G31" s="7">
        <f t="shared" si="1"/>
        <v>0</v>
      </c>
      <c r="H31" s="33"/>
      <c r="I31" s="60"/>
      <c r="J31" s="7"/>
      <c r="K31" s="7"/>
      <c r="L31" s="8"/>
      <c r="M31" s="7">
        <f>500+806.4</f>
        <v>1306.4000000000001</v>
      </c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>
        <f t="shared" si="0"/>
        <v>1306.4000000000001</v>
      </c>
      <c r="AH31" s="7"/>
      <c r="AI31" s="7"/>
      <c r="AJ31" s="58"/>
    </row>
    <row r="32" spans="2:37" ht="49.5" customHeight="1" x14ac:dyDescent="0.2">
      <c r="B32" s="13" t="s">
        <v>256</v>
      </c>
      <c r="C32" s="7" t="s">
        <v>257</v>
      </c>
      <c r="D32" s="21">
        <v>2210</v>
      </c>
      <c r="E32" s="7"/>
      <c r="F32" s="7">
        <v>4000</v>
      </c>
      <c r="G32" s="7">
        <f t="shared" si="1"/>
        <v>4000</v>
      </c>
      <c r="H32" s="8"/>
      <c r="I32" s="7"/>
      <c r="J32" s="7"/>
      <c r="K32" s="7"/>
      <c r="L32" s="8"/>
      <c r="M32" s="8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>
        <f t="shared" si="0"/>
        <v>4000</v>
      </c>
      <c r="AH32" s="7"/>
      <c r="AI32" s="7"/>
      <c r="AJ32" s="58"/>
      <c r="AK32" s="2"/>
    </row>
    <row r="33" spans="2:37" ht="49.5" customHeight="1" x14ac:dyDescent="0.2">
      <c r="B33" s="13" t="s">
        <v>258</v>
      </c>
      <c r="C33" s="7" t="s">
        <v>259</v>
      </c>
      <c r="D33" s="21">
        <v>2210</v>
      </c>
      <c r="E33" s="7"/>
      <c r="F33" s="7">
        <v>1400</v>
      </c>
      <c r="G33" s="7">
        <f t="shared" si="1"/>
        <v>1400</v>
      </c>
      <c r="H33" s="8"/>
      <c r="I33" s="8"/>
      <c r="J33" s="8"/>
      <c r="K33" s="8"/>
      <c r="L33" s="8"/>
      <c r="M33" s="8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>
        <v>75.05</v>
      </c>
      <c r="AB33" s="7"/>
      <c r="AC33" s="7"/>
      <c r="AD33" s="7"/>
      <c r="AE33" s="7"/>
      <c r="AF33" s="7"/>
      <c r="AG33" s="7">
        <f t="shared" si="0"/>
        <v>1475.05</v>
      </c>
      <c r="AH33" s="7"/>
      <c r="AI33" s="7"/>
      <c r="AJ33" s="58"/>
      <c r="AK33" s="2"/>
    </row>
    <row r="34" spans="2:37" ht="49.5" customHeight="1" x14ac:dyDescent="0.2">
      <c r="B34" s="13" t="s">
        <v>260</v>
      </c>
      <c r="C34" s="7" t="s">
        <v>261</v>
      </c>
      <c r="D34" s="21">
        <v>2210</v>
      </c>
      <c r="E34" s="7">
        <v>2000</v>
      </c>
      <c r="F34" s="7">
        <v>3000</v>
      </c>
      <c r="G34" s="7">
        <f t="shared" si="1"/>
        <v>5000</v>
      </c>
      <c r="H34" s="8"/>
      <c r="I34" s="7"/>
      <c r="J34" s="7"/>
      <c r="K34" s="7"/>
      <c r="L34" s="8"/>
      <c r="M34" s="8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>
        <v>293</v>
      </c>
      <c r="AB34" s="7"/>
      <c r="AC34" s="7"/>
      <c r="AD34" s="7"/>
      <c r="AE34" s="7"/>
      <c r="AF34" s="7"/>
      <c r="AG34" s="7">
        <f t="shared" si="0"/>
        <v>5293</v>
      </c>
      <c r="AH34" s="7"/>
      <c r="AI34" s="7"/>
      <c r="AJ34" s="58"/>
      <c r="AK34" s="61"/>
    </row>
    <row r="35" spans="2:37" ht="49.5" customHeight="1" x14ac:dyDescent="0.2">
      <c r="B35" s="13" t="s">
        <v>262</v>
      </c>
      <c r="C35" s="14" t="s">
        <v>263</v>
      </c>
      <c r="D35" s="15">
        <v>2210</v>
      </c>
      <c r="E35" s="7"/>
      <c r="F35" s="7"/>
      <c r="G35" s="7"/>
      <c r="H35" s="8"/>
      <c r="I35" s="7"/>
      <c r="J35" s="7"/>
      <c r="K35" s="7"/>
      <c r="L35" s="8"/>
      <c r="M35" s="8"/>
      <c r="N35" s="7"/>
      <c r="O35" s="7"/>
      <c r="P35" s="7"/>
      <c r="Q35" s="7"/>
      <c r="R35" s="7"/>
      <c r="S35" s="7"/>
      <c r="T35" s="7">
        <v>46.8</v>
      </c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>
        <f t="shared" si="0"/>
        <v>46.8</v>
      </c>
      <c r="AH35" s="7"/>
      <c r="AI35" s="7"/>
      <c r="AJ35" s="58"/>
      <c r="AK35" s="61"/>
    </row>
    <row r="36" spans="2:37" ht="49.5" customHeight="1" x14ac:dyDescent="0.2">
      <c r="B36" s="13" t="s">
        <v>264</v>
      </c>
      <c r="C36" s="7" t="s">
        <v>265</v>
      </c>
      <c r="D36" s="21">
        <v>2210</v>
      </c>
      <c r="E36" s="7"/>
      <c r="F36" s="7">
        <v>500</v>
      </c>
      <c r="G36" s="7">
        <f t="shared" si="1"/>
        <v>500</v>
      </c>
      <c r="H36" s="8"/>
      <c r="I36" s="7"/>
      <c r="J36" s="7"/>
      <c r="K36" s="7"/>
      <c r="L36" s="8"/>
      <c r="M36" s="8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>
        <f t="shared" si="0"/>
        <v>500</v>
      </c>
      <c r="AH36" s="7"/>
      <c r="AI36" s="7"/>
      <c r="AJ36" s="58"/>
    </row>
    <row r="37" spans="2:37" ht="49.5" customHeight="1" x14ac:dyDescent="0.2">
      <c r="B37" s="19" t="s">
        <v>266</v>
      </c>
      <c r="C37" s="15" t="s">
        <v>267</v>
      </c>
      <c r="D37" s="21">
        <v>2210</v>
      </c>
      <c r="E37" s="7"/>
      <c r="F37" s="7"/>
      <c r="G37" s="7"/>
      <c r="H37" s="8"/>
      <c r="I37" s="7"/>
      <c r="J37" s="7"/>
      <c r="K37" s="7"/>
      <c r="L37" s="8"/>
      <c r="M37" s="8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62">
        <v>82</v>
      </c>
      <c r="AA37" s="7"/>
      <c r="AB37" s="7">
        <f>172</f>
        <v>172</v>
      </c>
      <c r="AC37" s="7"/>
      <c r="AD37" s="7"/>
      <c r="AE37" s="7"/>
      <c r="AF37" s="7"/>
      <c r="AG37" s="7">
        <f t="shared" si="0"/>
        <v>254</v>
      </c>
      <c r="AH37" s="7"/>
      <c r="AI37" s="7"/>
      <c r="AJ37" s="58"/>
    </row>
    <row r="38" spans="2:37" ht="49.5" customHeight="1" x14ac:dyDescent="0.2">
      <c r="B38" s="13" t="s">
        <v>268</v>
      </c>
      <c r="C38" s="7" t="s">
        <v>82</v>
      </c>
      <c r="D38" s="21">
        <v>2210</v>
      </c>
      <c r="E38" s="7"/>
      <c r="F38" s="59" t="s">
        <v>269</v>
      </c>
      <c r="G38" s="7">
        <v>830</v>
      </c>
      <c r="H38" s="33"/>
      <c r="I38" s="8"/>
      <c r="J38" s="8"/>
      <c r="K38" s="7">
        <v>880</v>
      </c>
      <c r="L38" s="8"/>
      <c r="M38" s="8"/>
      <c r="N38" s="7"/>
      <c r="O38" s="7"/>
      <c r="P38" s="7"/>
      <c r="Q38" s="7"/>
      <c r="R38" s="7"/>
      <c r="S38" s="7"/>
      <c r="T38" s="7"/>
      <c r="U38" s="7">
        <v>1169</v>
      </c>
      <c r="V38" s="7"/>
      <c r="W38" s="7">
        <v>4617</v>
      </c>
      <c r="X38" s="7"/>
      <c r="Y38" s="7"/>
      <c r="Z38" s="7"/>
      <c r="AA38" s="7"/>
      <c r="AB38" s="7"/>
      <c r="AC38" s="7"/>
      <c r="AD38" s="7"/>
      <c r="AE38" s="7"/>
      <c r="AF38" s="7"/>
      <c r="AG38" s="7">
        <f t="shared" si="0"/>
        <v>7496</v>
      </c>
      <c r="AH38" s="7"/>
      <c r="AI38" s="7"/>
      <c r="AJ38" s="58"/>
    </row>
    <row r="39" spans="2:37" ht="49.5" customHeight="1" x14ac:dyDescent="0.2">
      <c r="B39" s="13" t="s">
        <v>91</v>
      </c>
      <c r="C39" s="7" t="s">
        <v>92</v>
      </c>
      <c r="D39" s="21">
        <v>2210</v>
      </c>
      <c r="E39" s="7"/>
      <c r="F39" s="59"/>
      <c r="G39" s="7"/>
      <c r="H39" s="33"/>
      <c r="I39" s="8"/>
      <c r="J39" s="8"/>
      <c r="K39" s="8"/>
      <c r="L39" s="8"/>
      <c r="M39" s="8"/>
      <c r="N39" s="7"/>
      <c r="O39" s="7">
        <v>131.04</v>
      </c>
      <c r="P39" s="7"/>
      <c r="Q39" s="7"/>
      <c r="R39" s="7"/>
      <c r="S39" s="63">
        <v>183.84</v>
      </c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>
        <f t="shared" si="0"/>
        <v>314.88</v>
      </c>
      <c r="AH39" s="7"/>
      <c r="AI39" s="7"/>
      <c r="AJ39" s="58"/>
    </row>
    <row r="40" spans="2:37" ht="47.25" x14ac:dyDescent="0.2">
      <c r="B40" s="13" t="s">
        <v>270</v>
      </c>
      <c r="C40" s="7" t="s">
        <v>96</v>
      </c>
      <c r="D40" s="21">
        <v>2210</v>
      </c>
      <c r="E40" s="7"/>
      <c r="F40" s="8"/>
      <c r="G40" s="8"/>
      <c r="H40" s="33"/>
      <c r="I40" s="60">
        <v>1517</v>
      </c>
      <c r="J40" s="7"/>
      <c r="K40" s="7"/>
      <c r="L40" s="8"/>
      <c r="M40" s="8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>
        <f t="shared" si="0"/>
        <v>1517</v>
      </c>
      <c r="AH40" s="7"/>
      <c r="AI40" s="7"/>
      <c r="AJ40" s="58"/>
    </row>
    <row r="41" spans="2:37" ht="27" customHeight="1" x14ac:dyDescent="0.2">
      <c r="B41" s="13" t="s">
        <v>271</v>
      </c>
      <c r="C41" s="15" t="s">
        <v>272</v>
      </c>
      <c r="D41" s="15">
        <v>2210</v>
      </c>
      <c r="E41" s="7"/>
      <c r="F41" s="8"/>
      <c r="G41" s="8"/>
      <c r="H41" s="33"/>
      <c r="I41" s="60"/>
      <c r="J41" s="7"/>
      <c r="K41" s="7"/>
      <c r="L41" s="8"/>
      <c r="M41" s="8"/>
      <c r="N41" s="7"/>
      <c r="O41" s="7"/>
      <c r="P41" s="7"/>
      <c r="Q41" s="7"/>
      <c r="R41" s="7"/>
      <c r="S41" s="7"/>
      <c r="T41" s="14">
        <v>7960</v>
      </c>
      <c r="U41" s="20"/>
      <c r="V41" s="20"/>
      <c r="W41" s="20"/>
      <c r="X41" s="7"/>
      <c r="Y41" s="7"/>
      <c r="Z41" s="7"/>
      <c r="AA41" s="7"/>
      <c r="AB41" s="7"/>
      <c r="AC41" s="7"/>
      <c r="AD41" s="7"/>
      <c r="AE41" s="7"/>
      <c r="AF41" s="7"/>
      <c r="AG41" s="7">
        <f t="shared" si="0"/>
        <v>7960</v>
      </c>
      <c r="AH41" s="7"/>
      <c r="AI41" s="7"/>
      <c r="AJ41" s="58"/>
    </row>
    <row r="42" spans="2:37" ht="70.150000000000006" customHeight="1" x14ac:dyDescent="0.2">
      <c r="B42" s="13" t="s">
        <v>273</v>
      </c>
      <c r="C42" s="7" t="s">
        <v>274</v>
      </c>
      <c r="D42" s="15">
        <v>2210</v>
      </c>
      <c r="E42" s="7"/>
      <c r="F42" s="8"/>
      <c r="G42" s="8"/>
      <c r="H42" s="33"/>
      <c r="I42" s="60"/>
      <c r="J42" s="7"/>
      <c r="K42" s="7"/>
      <c r="L42" s="8"/>
      <c r="M42" s="8"/>
      <c r="N42" s="7"/>
      <c r="O42" s="7"/>
      <c r="P42" s="7"/>
      <c r="Q42" s="7"/>
      <c r="R42" s="7"/>
      <c r="S42" s="7"/>
      <c r="T42" s="14"/>
      <c r="U42" s="20"/>
      <c r="V42" s="20"/>
      <c r="W42" s="20"/>
      <c r="X42" s="7"/>
      <c r="Y42" s="7"/>
      <c r="Z42" s="7"/>
      <c r="AA42" s="7">
        <v>29.3</v>
      </c>
      <c r="AB42" s="7">
        <f>356+380</f>
        <v>736</v>
      </c>
      <c r="AC42" s="7"/>
      <c r="AD42" s="7"/>
      <c r="AE42" s="7"/>
      <c r="AF42" s="7"/>
      <c r="AG42" s="7">
        <f t="shared" si="0"/>
        <v>765.3</v>
      </c>
      <c r="AH42" s="7"/>
      <c r="AI42" s="7"/>
      <c r="AJ42" s="58"/>
    </row>
    <row r="43" spans="2:37" ht="47.25" x14ac:dyDescent="0.2">
      <c r="B43" s="13" t="s">
        <v>275</v>
      </c>
      <c r="C43" s="7" t="s">
        <v>276</v>
      </c>
      <c r="D43" s="21">
        <v>2210</v>
      </c>
      <c r="E43" s="7"/>
      <c r="F43" s="8"/>
      <c r="G43" s="8"/>
      <c r="H43" s="33"/>
      <c r="I43" s="60"/>
      <c r="J43" s="7"/>
      <c r="K43" s="7"/>
      <c r="L43" s="8"/>
      <c r="M43" s="8"/>
      <c r="N43" s="7"/>
      <c r="O43" s="7">
        <v>100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62">
        <v>200</v>
      </c>
      <c r="AA43" s="7">
        <v>344.53</v>
      </c>
      <c r="AB43" s="7"/>
      <c r="AC43" s="7"/>
      <c r="AD43" s="7"/>
      <c r="AE43" s="7"/>
      <c r="AF43" s="7"/>
      <c r="AG43" s="7">
        <f>G43+I43+J43+K43+L43+M43+N43+O43+P43+Q43+R43+S43+T43+U43+V43+W43+X43+Y43+Z43+AA43+AB43+AC43+AD43+AE43+AF43</f>
        <v>644.53</v>
      </c>
      <c r="AH43" s="7"/>
      <c r="AI43" s="7"/>
      <c r="AJ43" s="58"/>
    </row>
    <row r="44" spans="2:37" ht="58.5" customHeight="1" x14ac:dyDescent="0.2">
      <c r="B44" s="13" t="s">
        <v>277</v>
      </c>
      <c r="C44" s="15" t="s">
        <v>278</v>
      </c>
      <c r="D44" s="21">
        <v>2210</v>
      </c>
      <c r="E44" s="7"/>
      <c r="F44" s="8"/>
      <c r="G44" s="8"/>
      <c r="H44" s="33"/>
      <c r="I44" s="60"/>
      <c r="J44" s="7"/>
      <c r="K44" s="7"/>
      <c r="L44" s="8"/>
      <c r="M44" s="8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62"/>
      <c r="AA44" s="7"/>
      <c r="AB44" s="7"/>
      <c r="AC44" s="7">
        <v>300</v>
      </c>
      <c r="AD44" s="7"/>
      <c r="AE44" s="7"/>
      <c r="AF44" s="7"/>
      <c r="AG44" s="7">
        <f>G44+I44+J44+K44+L44+M44+N44+O44+P44+Q44+R44+S44+T44+U44+V44+W44+X44+Y44+Z44+AA44+AB44+AC44+AD44+AE44+AF44</f>
        <v>300</v>
      </c>
      <c r="AH44" s="7"/>
      <c r="AI44" s="7"/>
      <c r="AJ44" s="58"/>
    </row>
    <row r="45" spans="2:37" ht="78" customHeight="1" x14ac:dyDescent="0.2">
      <c r="B45" s="13" t="s">
        <v>279</v>
      </c>
      <c r="C45" s="15" t="s">
        <v>280</v>
      </c>
      <c r="D45" s="15">
        <v>2210</v>
      </c>
      <c r="E45" s="7"/>
      <c r="F45" s="8"/>
      <c r="G45" s="8"/>
      <c r="H45" s="33"/>
      <c r="I45" s="60"/>
      <c r="J45" s="7"/>
      <c r="K45" s="7"/>
      <c r="L45" s="8"/>
      <c r="M45" s="8"/>
      <c r="N45" s="7"/>
      <c r="O45" s="7"/>
      <c r="P45" s="7"/>
      <c r="Q45" s="7"/>
      <c r="R45" s="7"/>
      <c r="S45" s="7"/>
      <c r="T45" s="7"/>
      <c r="U45" s="7">
        <v>1320.3</v>
      </c>
      <c r="V45" s="7"/>
      <c r="W45" s="7"/>
      <c r="X45" s="7"/>
      <c r="Y45" s="7">
        <v>1000</v>
      </c>
      <c r="Z45" s="7"/>
      <c r="AA45" s="7"/>
      <c r="AB45" s="7"/>
      <c r="AC45" s="7"/>
      <c r="AD45" s="7"/>
      <c r="AE45" s="7"/>
      <c r="AF45" s="7"/>
      <c r="AG45" s="7">
        <f t="shared" si="0"/>
        <v>2320.3000000000002</v>
      </c>
      <c r="AH45" s="7"/>
      <c r="AI45" s="7"/>
      <c r="AJ45" s="58"/>
    </row>
    <row r="46" spans="2:37" ht="78" customHeight="1" x14ac:dyDescent="0.2">
      <c r="B46" s="13" t="s">
        <v>281</v>
      </c>
      <c r="C46" s="15" t="s">
        <v>282</v>
      </c>
      <c r="D46" s="15">
        <v>2210</v>
      </c>
      <c r="E46" s="7"/>
      <c r="F46" s="59"/>
      <c r="G46" s="7"/>
      <c r="H46" s="33"/>
      <c r="I46" s="60"/>
      <c r="J46" s="7"/>
      <c r="K46" s="7"/>
      <c r="L46" s="60"/>
      <c r="M46" s="8"/>
      <c r="N46" s="7"/>
      <c r="O46" s="7"/>
      <c r="P46" s="7"/>
      <c r="Q46" s="7"/>
      <c r="R46" s="7"/>
      <c r="S46" s="20" t="s">
        <v>283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>
        <f t="shared" si="0"/>
        <v>117.55</v>
      </c>
      <c r="AH46" s="7"/>
      <c r="AI46" s="7"/>
      <c r="AJ46" s="58"/>
    </row>
    <row r="47" spans="2:37" ht="78" customHeight="1" x14ac:dyDescent="0.2">
      <c r="B47" s="13" t="s">
        <v>284</v>
      </c>
      <c r="C47" s="15" t="s">
        <v>285</v>
      </c>
      <c r="D47" s="15">
        <v>2210</v>
      </c>
      <c r="E47" s="7"/>
      <c r="F47" s="59"/>
      <c r="G47" s="7"/>
      <c r="H47" s="33"/>
      <c r="I47" s="60"/>
      <c r="J47" s="7"/>
      <c r="K47" s="7"/>
      <c r="L47" s="60"/>
      <c r="M47" s="8"/>
      <c r="N47" s="7"/>
      <c r="O47" s="7"/>
      <c r="P47" s="7"/>
      <c r="Q47" s="7"/>
      <c r="R47" s="7"/>
      <c r="S47" s="20"/>
      <c r="T47" s="7"/>
      <c r="U47" s="7">
        <v>197.6</v>
      </c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>
        <f t="shared" si="0"/>
        <v>197.6</v>
      </c>
      <c r="AH47" s="7"/>
      <c r="AI47" s="7"/>
      <c r="AJ47" s="58"/>
    </row>
    <row r="48" spans="2:37" ht="110.25" x14ac:dyDescent="0.2">
      <c r="B48" s="13" t="s">
        <v>286</v>
      </c>
      <c r="C48" s="7" t="s">
        <v>287</v>
      </c>
      <c r="D48" s="21">
        <v>2210</v>
      </c>
      <c r="E48" s="7"/>
      <c r="F48" s="59"/>
      <c r="G48" s="7"/>
      <c r="H48" s="33"/>
      <c r="I48" s="60"/>
      <c r="J48" s="7"/>
      <c r="K48" s="7"/>
      <c r="L48" s="60">
        <v>7500</v>
      </c>
      <c r="M48" s="8"/>
      <c r="N48" s="7"/>
      <c r="O48" s="7"/>
      <c r="P48" s="7"/>
      <c r="Q48" s="7"/>
      <c r="R48" s="7"/>
      <c r="S48" s="7">
        <v>28500</v>
      </c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>
        <f t="shared" si="0"/>
        <v>36000</v>
      </c>
      <c r="AH48" s="7"/>
      <c r="AI48" s="7"/>
      <c r="AJ48" s="58"/>
    </row>
    <row r="49" spans="2:36" ht="15.75" x14ac:dyDescent="0.2">
      <c r="B49" s="13" t="s">
        <v>288</v>
      </c>
      <c r="C49" s="7" t="s">
        <v>56</v>
      </c>
      <c r="D49" s="21">
        <v>2210</v>
      </c>
      <c r="E49" s="7"/>
      <c r="F49" s="59"/>
      <c r="G49" s="7"/>
      <c r="H49" s="33"/>
      <c r="I49" s="60"/>
      <c r="J49" s="7">
        <v>364</v>
      </c>
      <c r="K49" s="7"/>
      <c r="L49" s="8"/>
      <c r="M49" s="8"/>
      <c r="N49" s="7"/>
      <c r="O49" s="7">
        <v>116</v>
      </c>
      <c r="P49" s="7"/>
      <c r="Q49" s="7"/>
      <c r="R49" s="7"/>
      <c r="S49" s="7"/>
      <c r="T49" s="7"/>
      <c r="U49" s="7">
        <f>262.26+605</f>
        <v>867.26</v>
      </c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>
        <f t="shared" si="0"/>
        <v>1347.26</v>
      </c>
      <c r="AH49" s="7"/>
      <c r="AI49" s="7"/>
      <c r="AJ49" s="58"/>
    </row>
    <row r="50" spans="2:36" ht="15.75" x14ac:dyDescent="0.2">
      <c r="B50" s="13" t="s">
        <v>97</v>
      </c>
      <c r="C50" s="7" t="s">
        <v>98</v>
      </c>
      <c r="D50" s="21">
        <v>2210</v>
      </c>
      <c r="E50" s="7"/>
      <c r="F50" s="59"/>
      <c r="G50" s="7"/>
      <c r="H50" s="33"/>
      <c r="I50" s="60"/>
      <c r="J50" s="7">
        <v>636</v>
      </c>
      <c r="K50" s="7"/>
      <c r="L50" s="8"/>
      <c r="M50" s="8"/>
      <c r="N50" s="7"/>
      <c r="O50" s="7">
        <v>183.36</v>
      </c>
      <c r="P50" s="7"/>
      <c r="Q50" s="7"/>
      <c r="R50" s="7"/>
      <c r="S50" s="7"/>
      <c r="T50" s="7"/>
      <c r="U50" s="7"/>
      <c r="V50" s="7"/>
      <c r="W50" s="7">
        <v>1260</v>
      </c>
      <c r="X50" s="7"/>
      <c r="Y50" s="7"/>
      <c r="Z50" s="62">
        <v>420</v>
      </c>
      <c r="AA50" s="7"/>
      <c r="AB50" s="7"/>
      <c r="AC50" s="7"/>
      <c r="AD50" s="7"/>
      <c r="AE50" s="7"/>
      <c r="AF50" s="7"/>
      <c r="AG50" s="7">
        <f t="shared" si="0"/>
        <v>2499.36</v>
      </c>
      <c r="AH50" s="7"/>
      <c r="AI50" s="7"/>
      <c r="AJ50" s="58"/>
    </row>
    <row r="51" spans="2:36" ht="33" x14ac:dyDescent="0.2">
      <c r="B51" s="13" t="s">
        <v>289</v>
      </c>
      <c r="C51" s="15" t="s">
        <v>290</v>
      </c>
      <c r="D51" s="15">
        <v>2210</v>
      </c>
      <c r="E51" s="7"/>
      <c r="F51" s="59"/>
      <c r="G51" s="7"/>
      <c r="H51" s="33"/>
      <c r="I51" s="60"/>
      <c r="J51" s="7"/>
      <c r="K51" s="7"/>
      <c r="L51" s="8"/>
      <c r="M51" s="8"/>
      <c r="N51" s="7"/>
      <c r="O51" s="7"/>
      <c r="P51" s="7"/>
      <c r="Q51" s="7"/>
      <c r="R51" s="7"/>
      <c r="S51" s="20" t="s">
        <v>291</v>
      </c>
      <c r="T51" s="7"/>
      <c r="U51" s="7"/>
      <c r="V51" s="7"/>
      <c r="W51" s="7"/>
      <c r="X51" s="7"/>
      <c r="Y51" s="7"/>
      <c r="Z51" s="7"/>
      <c r="AA51" s="7">
        <v>134</v>
      </c>
      <c r="AB51" s="7"/>
      <c r="AC51" s="7"/>
      <c r="AD51" s="7"/>
      <c r="AE51" s="7"/>
      <c r="AF51" s="7"/>
      <c r="AG51" s="7">
        <f t="shared" si="0"/>
        <v>261.7</v>
      </c>
      <c r="AH51" s="7"/>
      <c r="AI51" s="7"/>
      <c r="AJ51" s="58"/>
    </row>
    <row r="52" spans="2:36" ht="33" x14ac:dyDescent="0.2">
      <c r="B52" s="13" t="s">
        <v>292</v>
      </c>
      <c r="C52" s="15" t="s">
        <v>293</v>
      </c>
      <c r="D52" s="15">
        <v>2210</v>
      </c>
      <c r="E52" s="7"/>
      <c r="F52" s="59"/>
      <c r="G52" s="7"/>
      <c r="H52" s="33"/>
      <c r="I52" s="60"/>
      <c r="J52" s="7"/>
      <c r="K52" s="7"/>
      <c r="L52" s="8"/>
      <c r="M52" s="8"/>
      <c r="N52" s="7"/>
      <c r="O52" s="7"/>
      <c r="P52" s="7"/>
      <c r="Q52" s="7"/>
      <c r="R52" s="7"/>
      <c r="S52" s="20" t="s">
        <v>294</v>
      </c>
      <c r="T52" s="7"/>
      <c r="U52" s="7"/>
      <c r="V52" s="7"/>
      <c r="W52" s="7"/>
      <c r="X52" s="7"/>
      <c r="Y52" s="7"/>
      <c r="Z52" s="7"/>
      <c r="AA52" s="7">
        <v>108.5</v>
      </c>
      <c r="AB52" s="7"/>
      <c r="AC52" s="7"/>
      <c r="AD52" s="7"/>
      <c r="AE52" s="7"/>
      <c r="AF52" s="7"/>
      <c r="AG52" s="7">
        <f t="shared" si="0"/>
        <v>440</v>
      </c>
      <c r="AH52" s="7"/>
      <c r="AI52" s="7"/>
      <c r="AJ52" s="58"/>
    </row>
    <row r="53" spans="2:36" ht="33" x14ac:dyDescent="0.2">
      <c r="B53" s="13" t="s">
        <v>295</v>
      </c>
      <c r="C53" s="15" t="s">
        <v>296</v>
      </c>
      <c r="D53" s="15">
        <v>2210</v>
      </c>
      <c r="E53" s="7"/>
      <c r="F53" s="59"/>
      <c r="G53" s="7"/>
      <c r="H53" s="33"/>
      <c r="I53" s="60"/>
      <c r="J53" s="7"/>
      <c r="K53" s="7"/>
      <c r="L53" s="8"/>
      <c r="M53" s="8"/>
      <c r="N53" s="7"/>
      <c r="O53" s="7"/>
      <c r="P53" s="7"/>
      <c r="Q53" s="7"/>
      <c r="R53" s="7"/>
      <c r="S53" s="20"/>
      <c r="T53" s="7"/>
      <c r="U53" s="7">
        <v>56</v>
      </c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>
        <f t="shared" si="0"/>
        <v>56</v>
      </c>
      <c r="AH53" s="7"/>
      <c r="AI53" s="7"/>
      <c r="AJ53" s="58"/>
    </row>
    <row r="54" spans="2:36" ht="47.25" x14ac:dyDescent="0.2">
      <c r="B54" s="13" t="s">
        <v>297</v>
      </c>
      <c r="C54" s="7" t="s">
        <v>298</v>
      </c>
      <c r="D54" s="21">
        <v>2210</v>
      </c>
      <c r="E54" s="7"/>
      <c r="F54" s="59"/>
      <c r="G54" s="7"/>
      <c r="H54" s="33"/>
      <c r="I54" s="60">
        <v>341.18</v>
      </c>
      <c r="J54" s="7"/>
      <c r="K54" s="7"/>
      <c r="L54" s="8"/>
      <c r="M54" s="8"/>
      <c r="N54" s="7"/>
      <c r="O54" s="7"/>
      <c r="P54" s="7"/>
      <c r="Q54" s="7"/>
      <c r="R54" s="7"/>
      <c r="S54" s="7"/>
      <c r="T54" s="63">
        <v>113.4</v>
      </c>
      <c r="U54" s="20"/>
      <c r="V54" s="20"/>
      <c r="W54" s="20"/>
      <c r="X54" s="7"/>
      <c r="Y54" s="7"/>
      <c r="Z54" s="7"/>
      <c r="AA54" s="7"/>
      <c r="AB54" s="7"/>
      <c r="AC54" s="7"/>
      <c r="AD54" s="7"/>
      <c r="AE54" s="7"/>
      <c r="AF54" s="7"/>
      <c r="AG54" s="7">
        <f t="shared" si="0"/>
        <v>454.58000000000004</v>
      </c>
      <c r="AH54" s="7"/>
      <c r="AI54" s="7"/>
      <c r="AJ54" s="58"/>
    </row>
    <row r="55" spans="2:36" ht="33" x14ac:dyDescent="0.2">
      <c r="B55" s="13" t="s">
        <v>299</v>
      </c>
      <c r="C55" s="15" t="s">
        <v>300</v>
      </c>
      <c r="D55" s="15">
        <v>2210</v>
      </c>
      <c r="E55" s="59"/>
      <c r="F55" s="59"/>
      <c r="G55" s="7"/>
      <c r="H55" s="33"/>
      <c r="I55" s="60"/>
      <c r="J55" s="7"/>
      <c r="K55" s="7"/>
      <c r="L55" s="7"/>
      <c r="M55" s="8"/>
      <c r="N55" s="7"/>
      <c r="O55" s="7"/>
      <c r="P55" s="7"/>
      <c r="Q55" s="7"/>
      <c r="R55" s="7"/>
      <c r="S55" s="20" t="s">
        <v>301</v>
      </c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>
        <f t="shared" si="0"/>
        <v>133.08000000000001</v>
      </c>
      <c r="AH55" s="7"/>
      <c r="AI55" s="7"/>
      <c r="AJ55" s="58"/>
    </row>
    <row r="56" spans="2:36" ht="33" x14ac:dyDescent="0.2">
      <c r="B56" s="13" t="s">
        <v>302</v>
      </c>
      <c r="C56" s="14" t="s">
        <v>303</v>
      </c>
      <c r="D56" s="15">
        <v>2210</v>
      </c>
      <c r="E56" s="59"/>
      <c r="F56" s="59"/>
      <c r="G56" s="7"/>
      <c r="H56" s="33"/>
      <c r="I56" s="60"/>
      <c r="J56" s="7"/>
      <c r="K56" s="7"/>
      <c r="L56" s="7"/>
      <c r="M56" s="8"/>
      <c r="N56" s="7"/>
      <c r="O56" s="7"/>
      <c r="P56" s="7"/>
      <c r="Q56" s="7"/>
      <c r="R56" s="7"/>
      <c r="S56" s="20"/>
      <c r="T56" s="7"/>
      <c r="U56" s="7">
        <v>39.14</v>
      </c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>
        <f t="shared" si="0"/>
        <v>39.14</v>
      </c>
      <c r="AH56" s="7"/>
      <c r="AI56" s="7"/>
      <c r="AJ56" s="58"/>
    </row>
    <row r="57" spans="2:36" ht="33" x14ac:dyDescent="0.2">
      <c r="B57" s="13" t="s">
        <v>304</v>
      </c>
      <c r="C57" s="15" t="s">
        <v>305</v>
      </c>
      <c r="D57" s="15">
        <v>2210</v>
      </c>
      <c r="E57" s="59"/>
      <c r="F57" s="59"/>
      <c r="G57" s="7"/>
      <c r="H57" s="33"/>
      <c r="I57" s="60"/>
      <c r="J57" s="7"/>
      <c r="K57" s="7"/>
      <c r="L57" s="7"/>
      <c r="M57" s="8"/>
      <c r="N57" s="7"/>
      <c r="O57" s="7"/>
      <c r="P57" s="7"/>
      <c r="Q57" s="7"/>
      <c r="R57" s="7"/>
      <c r="S57" s="20" t="s">
        <v>306</v>
      </c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>
        <f t="shared" si="0"/>
        <v>5.44</v>
      </c>
      <c r="AH57" s="7"/>
      <c r="AI57" s="7"/>
      <c r="AJ57" s="58"/>
    </row>
    <row r="58" spans="2:36" ht="63" x14ac:dyDescent="0.2">
      <c r="B58" s="13" t="s">
        <v>307</v>
      </c>
      <c r="C58" s="15" t="s">
        <v>308</v>
      </c>
      <c r="D58" s="15">
        <v>2210</v>
      </c>
      <c r="E58" s="59"/>
      <c r="F58" s="59"/>
      <c r="G58" s="7"/>
      <c r="H58" s="33"/>
      <c r="I58" s="60"/>
      <c r="J58" s="7"/>
      <c r="K58" s="7"/>
      <c r="L58" s="7"/>
      <c r="M58" s="8"/>
      <c r="N58" s="7"/>
      <c r="O58" s="7"/>
      <c r="P58" s="7"/>
      <c r="Q58" s="7"/>
      <c r="R58" s="7"/>
      <c r="S58" s="20" t="s">
        <v>309</v>
      </c>
      <c r="T58" s="7"/>
      <c r="U58" s="7"/>
      <c r="V58" s="7"/>
      <c r="W58" s="7"/>
      <c r="X58" s="7"/>
      <c r="Y58" s="7"/>
      <c r="Z58" s="7"/>
      <c r="AA58" s="7">
        <v>95</v>
      </c>
      <c r="AB58" s="7"/>
      <c r="AC58" s="7"/>
      <c r="AD58" s="7"/>
      <c r="AE58" s="7"/>
      <c r="AF58" s="7"/>
      <c r="AG58" s="7">
        <f t="shared" si="0"/>
        <v>559.54999999999995</v>
      </c>
      <c r="AH58" s="7"/>
      <c r="AI58" s="7"/>
      <c r="AJ58" s="58"/>
    </row>
    <row r="59" spans="2:36" ht="33" x14ac:dyDescent="0.2">
      <c r="B59" s="13" t="s">
        <v>310</v>
      </c>
      <c r="C59" s="15" t="s">
        <v>311</v>
      </c>
      <c r="D59" s="15">
        <v>2210</v>
      </c>
      <c r="E59" s="59"/>
      <c r="F59" s="59"/>
      <c r="G59" s="7"/>
      <c r="H59" s="33"/>
      <c r="I59" s="60"/>
      <c r="J59" s="7"/>
      <c r="K59" s="7"/>
      <c r="L59" s="7"/>
      <c r="M59" s="8"/>
      <c r="N59" s="7"/>
      <c r="O59" s="7"/>
      <c r="P59" s="7"/>
      <c r="Q59" s="7"/>
      <c r="R59" s="7"/>
      <c r="S59" s="20" t="s">
        <v>312</v>
      </c>
      <c r="T59" s="7"/>
      <c r="U59" s="7"/>
      <c r="V59" s="7"/>
      <c r="W59" s="7"/>
      <c r="X59" s="7"/>
      <c r="Y59" s="7"/>
      <c r="Z59" s="7"/>
      <c r="AA59" s="7">
        <v>48.18</v>
      </c>
      <c r="AB59" s="7"/>
      <c r="AC59" s="7"/>
      <c r="AD59" s="7"/>
      <c r="AE59" s="7"/>
      <c r="AF59" s="7"/>
      <c r="AG59" s="7">
        <f t="shared" si="0"/>
        <v>175.16</v>
      </c>
      <c r="AH59" s="7"/>
      <c r="AI59" s="7"/>
      <c r="AJ59" s="58"/>
    </row>
    <row r="60" spans="2:36" ht="33" x14ac:dyDescent="0.2">
      <c r="B60" s="13" t="s">
        <v>313</v>
      </c>
      <c r="C60" s="15" t="s">
        <v>314</v>
      </c>
      <c r="D60" s="15">
        <v>2210</v>
      </c>
      <c r="E60" s="59"/>
      <c r="F60" s="59"/>
      <c r="G60" s="7"/>
      <c r="H60" s="33"/>
      <c r="I60" s="60"/>
      <c r="J60" s="7"/>
      <c r="K60" s="7"/>
      <c r="L60" s="7"/>
      <c r="M60" s="8"/>
      <c r="N60" s="7"/>
      <c r="O60" s="7"/>
      <c r="P60" s="7"/>
      <c r="Q60" s="7"/>
      <c r="R60" s="7"/>
      <c r="S60" s="20" t="s">
        <v>237</v>
      </c>
      <c r="T60" s="7"/>
      <c r="U60" s="7">
        <v>71.83</v>
      </c>
      <c r="V60" s="7"/>
      <c r="W60" s="7"/>
      <c r="X60" s="7"/>
      <c r="Y60" s="7"/>
      <c r="Z60" s="7"/>
      <c r="AA60" s="7">
        <v>114.15</v>
      </c>
      <c r="AB60" s="7"/>
      <c r="AC60" s="7"/>
      <c r="AD60" s="7"/>
      <c r="AE60" s="7"/>
      <c r="AF60" s="7"/>
      <c r="AG60" s="7">
        <f t="shared" si="0"/>
        <v>203.98000000000002</v>
      </c>
      <c r="AH60" s="7"/>
      <c r="AI60" s="7"/>
      <c r="AJ60" s="58"/>
    </row>
    <row r="61" spans="2:36" ht="63" x14ac:dyDescent="0.2">
      <c r="B61" s="13" t="s">
        <v>315</v>
      </c>
      <c r="C61" s="14" t="s">
        <v>316</v>
      </c>
      <c r="D61" s="15">
        <v>2210</v>
      </c>
      <c r="E61" s="59"/>
      <c r="F61" s="59"/>
      <c r="G61" s="7"/>
      <c r="H61" s="33"/>
      <c r="I61" s="60"/>
      <c r="J61" s="7"/>
      <c r="K61" s="7"/>
      <c r="L61" s="7"/>
      <c r="M61" s="8"/>
      <c r="N61" s="7"/>
      <c r="O61" s="7"/>
      <c r="P61" s="7"/>
      <c r="Q61" s="7"/>
      <c r="R61" s="7"/>
      <c r="S61" s="20"/>
      <c r="T61" s="7"/>
      <c r="U61" s="7">
        <v>528.6</v>
      </c>
      <c r="V61" s="7"/>
      <c r="W61" s="7"/>
      <c r="X61" s="7"/>
      <c r="Y61" s="7"/>
      <c r="Z61" s="7"/>
      <c r="AA61" s="7">
        <v>29.24</v>
      </c>
      <c r="AB61" s="7"/>
      <c r="AC61" s="7"/>
      <c r="AD61" s="7"/>
      <c r="AE61" s="7"/>
      <c r="AF61" s="7"/>
      <c r="AG61" s="7">
        <f t="shared" si="0"/>
        <v>557.84</v>
      </c>
      <c r="AH61" s="7"/>
      <c r="AI61" s="7"/>
      <c r="AJ61" s="58"/>
    </row>
    <row r="62" spans="2:36" ht="78" customHeight="1" x14ac:dyDescent="0.2">
      <c r="B62" s="13" t="s">
        <v>317</v>
      </c>
      <c r="C62" s="15" t="s">
        <v>318</v>
      </c>
      <c r="D62" s="15">
        <v>2210</v>
      </c>
      <c r="E62" s="59"/>
      <c r="F62" s="59"/>
      <c r="G62" s="7"/>
      <c r="H62" s="33"/>
      <c r="I62" s="60"/>
      <c r="J62" s="7"/>
      <c r="K62" s="7"/>
      <c r="L62" s="7"/>
      <c r="M62" s="8"/>
      <c r="N62" s="7"/>
      <c r="O62" s="7"/>
      <c r="P62" s="7"/>
      <c r="Q62" s="7"/>
      <c r="R62" s="7"/>
      <c r="S62" s="20" t="s">
        <v>319</v>
      </c>
      <c r="T62" s="7"/>
      <c r="U62" s="7"/>
      <c r="V62" s="7"/>
      <c r="W62" s="7"/>
      <c r="X62" s="7"/>
      <c r="Y62" s="7"/>
      <c r="Z62" s="7"/>
      <c r="AA62" s="7">
        <f>145.24+26</f>
        <v>171.24</v>
      </c>
      <c r="AB62" s="7"/>
      <c r="AC62" s="7"/>
      <c r="AD62" s="7"/>
      <c r="AE62" s="7"/>
      <c r="AF62" s="7"/>
      <c r="AG62" s="7">
        <f t="shared" si="0"/>
        <v>308.43</v>
      </c>
      <c r="AH62" s="7"/>
      <c r="AI62" s="7"/>
      <c r="AJ62" s="58"/>
    </row>
    <row r="63" spans="2:36" ht="78" customHeight="1" x14ac:dyDescent="0.2">
      <c r="B63" s="13" t="s">
        <v>320</v>
      </c>
      <c r="C63" s="15" t="s">
        <v>321</v>
      </c>
      <c r="D63" s="15">
        <v>2210</v>
      </c>
      <c r="E63" s="59"/>
      <c r="F63" s="59"/>
      <c r="G63" s="7"/>
      <c r="H63" s="33"/>
      <c r="I63" s="60"/>
      <c r="J63" s="7"/>
      <c r="K63" s="7"/>
      <c r="L63" s="7"/>
      <c r="M63" s="8"/>
      <c r="N63" s="7"/>
      <c r="O63" s="7"/>
      <c r="P63" s="7"/>
      <c r="Q63" s="7"/>
      <c r="R63" s="7"/>
      <c r="S63" s="20" t="s">
        <v>322</v>
      </c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>
        <f t="shared" si="0"/>
        <v>66.8</v>
      </c>
      <c r="AH63" s="7"/>
      <c r="AI63" s="7"/>
      <c r="AJ63" s="58"/>
    </row>
    <row r="64" spans="2:36" ht="33" x14ac:dyDescent="0.2">
      <c r="B64" s="13" t="s">
        <v>310</v>
      </c>
      <c r="C64" s="15" t="s">
        <v>323</v>
      </c>
      <c r="D64" s="15">
        <v>2210</v>
      </c>
      <c r="E64" s="59"/>
      <c r="F64" s="59"/>
      <c r="G64" s="7"/>
      <c r="H64" s="33"/>
      <c r="I64" s="60"/>
      <c r="J64" s="7"/>
      <c r="K64" s="7"/>
      <c r="L64" s="7"/>
      <c r="M64" s="8"/>
      <c r="N64" s="7"/>
      <c r="O64" s="7"/>
      <c r="P64" s="7"/>
      <c r="Q64" s="7"/>
      <c r="R64" s="7"/>
      <c r="S64" s="20" t="s">
        <v>324</v>
      </c>
      <c r="T64" s="63">
        <v>51.84</v>
      </c>
      <c r="U64" s="7"/>
      <c r="V64" s="7"/>
      <c r="W64" s="7"/>
      <c r="X64" s="7"/>
      <c r="Y64" s="7"/>
      <c r="Z64" s="7"/>
      <c r="AA64" s="7">
        <v>20.5</v>
      </c>
      <c r="AB64" s="7"/>
      <c r="AC64" s="7"/>
      <c r="AD64" s="7"/>
      <c r="AE64" s="7"/>
      <c r="AF64" s="7"/>
      <c r="AG64" s="7">
        <f t="shared" si="0"/>
        <v>89.14</v>
      </c>
      <c r="AH64" s="7"/>
      <c r="AI64" s="7"/>
      <c r="AJ64" s="58"/>
    </row>
    <row r="65" spans="2:36" ht="49.5" x14ac:dyDescent="0.2">
      <c r="B65" s="13" t="s">
        <v>325</v>
      </c>
      <c r="C65" s="15" t="s">
        <v>326</v>
      </c>
      <c r="D65" s="15">
        <v>2210</v>
      </c>
      <c r="E65" s="59"/>
      <c r="F65" s="59"/>
      <c r="G65" s="7"/>
      <c r="H65" s="33"/>
      <c r="I65" s="60"/>
      <c r="J65" s="7"/>
      <c r="K65" s="7"/>
      <c r="L65" s="7"/>
      <c r="M65" s="8"/>
      <c r="N65" s="7"/>
      <c r="O65" s="7"/>
      <c r="P65" s="7"/>
      <c r="Q65" s="7"/>
      <c r="R65" s="7"/>
      <c r="S65" s="20"/>
      <c r="T65" s="63">
        <v>510.68</v>
      </c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>
        <f t="shared" si="0"/>
        <v>510.68</v>
      </c>
      <c r="AH65" s="7"/>
      <c r="AI65" s="7"/>
      <c r="AJ65" s="58"/>
    </row>
    <row r="66" spans="2:36" ht="78" customHeight="1" x14ac:dyDescent="0.2">
      <c r="B66" s="13" t="s">
        <v>273</v>
      </c>
      <c r="C66" s="7" t="s">
        <v>274</v>
      </c>
      <c r="D66" s="15">
        <v>2210</v>
      </c>
      <c r="E66" s="7"/>
      <c r="F66" s="8"/>
      <c r="G66" s="8"/>
      <c r="H66" s="33"/>
      <c r="I66" s="60"/>
      <c r="J66" s="7"/>
      <c r="K66" s="7"/>
      <c r="L66" s="8"/>
      <c r="M66" s="8"/>
      <c r="N66" s="7"/>
      <c r="O66" s="7"/>
      <c r="P66" s="7"/>
      <c r="Q66" s="7"/>
      <c r="R66" s="7"/>
      <c r="S66" s="7"/>
      <c r="T66" s="14"/>
      <c r="U66" s="20"/>
      <c r="V66" s="20"/>
      <c r="W66" s="20"/>
      <c r="X66" s="7"/>
      <c r="Y66" s="7"/>
      <c r="Z66" s="7"/>
      <c r="AA66" s="7">
        <v>29.3</v>
      </c>
      <c r="AB66" s="7">
        <f>356+380</f>
        <v>736</v>
      </c>
      <c r="AC66" s="7"/>
      <c r="AD66" s="7"/>
      <c r="AE66" s="7"/>
      <c r="AF66" s="7"/>
      <c r="AG66" s="7">
        <f t="shared" si="0"/>
        <v>765.3</v>
      </c>
      <c r="AH66" s="7"/>
      <c r="AI66" s="7"/>
      <c r="AJ66" s="58"/>
    </row>
    <row r="67" spans="2:36" ht="78" customHeight="1" x14ac:dyDescent="0.2">
      <c r="B67" s="13" t="s">
        <v>327</v>
      </c>
      <c r="C67" s="15" t="s">
        <v>328</v>
      </c>
      <c r="D67" s="21">
        <v>2210</v>
      </c>
      <c r="E67" s="59"/>
      <c r="F67" s="59"/>
      <c r="G67" s="7"/>
      <c r="H67" s="33"/>
      <c r="I67" s="60"/>
      <c r="J67" s="7"/>
      <c r="K67" s="7"/>
      <c r="L67" s="20" t="s">
        <v>329</v>
      </c>
      <c r="M67" s="8"/>
      <c r="N67" s="7"/>
      <c r="O67" s="7"/>
      <c r="P67" s="7"/>
      <c r="Q67" s="7"/>
      <c r="R67" s="7"/>
      <c r="S67" s="20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>
        <f t="shared" si="0"/>
        <v>1626</v>
      </c>
      <c r="AH67" s="7"/>
      <c r="AI67" s="7"/>
      <c r="AJ67" s="58"/>
    </row>
    <row r="68" spans="2:36" ht="78" customHeight="1" x14ac:dyDescent="0.2">
      <c r="B68" s="13" t="s">
        <v>330</v>
      </c>
      <c r="C68" s="15" t="s">
        <v>331</v>
      </c>
      <c r="D68" s="21">
        <v>2210</v>
      </c>
      <c r="E68" s="59"/>
      <c r="F68" s="59"/>
      <c r="G68" s="7"/>
      <c r="H68" s="33"/>
      <c r="I68" s="60"/>
      <c r="J68" s="7"/>
      <c r="K68" s="7"/>
      <c r="L68" s="20"/>
      <c r="M68" s="8"/>
      <c r="N68" s="7"/>
      <c r="O68" s="7"/>
      <c r="P68" s="7"/>
      <c r="Q68" s="7"/>
      <c r="R68" s="7"/>
      <c r="S68" s="20"/>
      <c r="T68" s="7"/>
      <c r="U68" s="7"/>
      <c r="V68" s="7"/>
      <c r="W68" s="7"/>
      <c r="X68" s="7"/>
      <c r="Y68" s="7"/>
      <c r="Z68" s="7"/>
      <c r="AA68" s="7"/>
      <c r="AB68" s="7">
        <v>192</v>
      </c>
      <c r="AC68" s="7"/>
      <c r="AD68" s="7"/>
      <c r="AE68" s="7"/>
      <c r="AF68" s="7"/>
      <c r="AG68" s="7">
        <f t="shared" si="0"/>
        <v>192</v>
      </c>
      <c r="AH68" s="7"/>
      <c r="AI68" s="7"/>
      <c r="AJ68" s="58"/>
    </row>
    <row r="69" spans="2:36" ht="78" customHeight="1" x14ac:dyDescent="0.2">
      <c r="B69" s="13" t="s">
        <v>332</v>
      </c>
      <c r="C69" s="15" t="s">
        <v>333</v>
      </c>
      <c r="D69" s="21">
        <v>2210</v>
      </c>
      <c r="E69" s="59"/>
      <c r="F69" s="59"/>
      <c r="G69" s="7"/>
      <c r="H69" s="33"/>
      <c r="I69" s="60"/>
      <c r="J69" s="7"/>
      <c r="K69" s="7"/>
      <c r="L69" s="20"/>
      <c r="M69" s="8"/>
      <c r="N69" s="7"/>
      <c r="O69" s="7"/>
      <c r="P69" s="7"/>
      <c r="Q69" s="7"/>
      <c r="R69" s="7"/>
      <c r="S69" s="20"/>
      <c r="T69" s="7"/>
      <c r="U69" s="7"/>
      <c r="V69" s="7"/>
      <c r="W69" s="7"/>
      <c r="X69" s="7"/>
      <c r="Y69" s="7"/>
      <c r="Z69" s="7"/>
      <c r="AA69" s="7">
        <v>22</v>
      </c>
      <c r="AB69" s="7"/>
      <c r="AC69" s="7"/>
      <c r="AD69" s="7"/>
      <c r="AE69" s="7"/>
      <c r="AF69" s="7"/>
      <c r="AG69" s="7">
        <f t="shared" si="0"/>
        <v>22</v>
      </c>
      <c r="AH69" s="7"/>
      <c r="AI69" s="7"/>
      <c r="AJ69" s="58"/>
    </row>
    <row r="70" spans="2:36" ht="78" customHeight="1" x14ac:dyDescent="0.2">
      <c r="B70" s="13" t="s">
        <v>334</v>
      </c>
      <c r="C70" s="15" t="s">
        <v>335</v>
      </c>
      <c r="D70" s="21">
        <v>2210</v>
      </c>
      <c r="E70" s="59"/>
      <c r="F70" s="59"/>
      <c r="G70" s="7"/>
      <c r="H70" s="33"/>
      <c r="I70" s="60"/>
      <c r="J70" s="7"/>
      <c r="K70" s="7"/>
      <c r="L70" s="20"/>
      <c r="M70" s="8"/>
      <c r="N70" s="7"/>
      <c r="O70" s="7"/>
      <c r="P70" s="7"/>
      <c r="Q70" s="7"/>
      <c r="R70" s="7"/>
      <c r="S70" s="20"/>
      <c r="T70" s="7"/>
      <c r="U70" s="7"/>
      <c r="V70" s="7"/>
      <c r="W70" s="7"/>
      <c r="X70" s="7"/>
      <c r="Y70" s="7"/>
      <c r="Z70" s="7"/>
      <c r="AA70" s="7">
        <v>600.5</v>
      </c>
      <c r="AB70" s="7"/>
      <c r="AC70" s="7"/>
      <c r="AD70" s="7"/>
      <c r="AE70" s="7"/>
      <c r="AF70" s="7"/>
      <c r="AG70" s="7">
        <f t="shared" si="0"/>
        <v>600.5</v>
      </c>
      <c r="AH70" s="7"/>
      <c r="AI70" s="7"/>
      <c r="AJ70" s="58"/>
    </row>
    <row r="71" spans="2:36" ht="78" customHeight="1" x14ac:dyDescent="0.2">
      <c r="B71" s="13" t="s">
        <v>61</v>
      </c>
      <c r="C71" s="15" t="s">
        <v>62</v>
      </c>
      <c r="D71" s="21">
        <v>2210</v>
      </c>
      <c r="E71" s="7"/>
      <c r="F71" s="59"/>
      <c r="G71" s="7"/>
      <c r="H71" s="33"/>
      <c r="I71" s="60"/>
      <c r="J71" s="8"/>
      <c r="K71" s="8"/>
      <c r="L71" s="8"/>
      <c r="M71" s="8"/>
      <c r="N71" s="7"/>
      <c r="O71" s="7"/>
      <c r="P71" s="7"/>
      <c r="Q71" s="7"/>
      <c r="R71" s="7"/>
      <c r="S71" s="59" t="s">
        <v>336</v>
      </c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>
        <f t="shared" si="0"/>
        <v>1600</v>
      </c>
      <c r="AH71" s="7"/>
      <c r="AI71" s="7"/>
      <c r="AJ71" s="58"/>
    </row>
    <row r="72" spans="2:36" ht="78" customHeight="1" x14ac:dyDescent="0.2">
      <c r="B72" s="13" t="s">
        <v>334</v>
      </c>
      <c r="C72" s="15" t="s">
        <v>335</v>
      </c>
      <c r="D72" s="15">
        <v>2210</v>
      </c>
      <c r="E72" s="7"/>
      <c r="F72" s="59"/>
      <c r="G72" s="7"/>
      <c r="H72" s="33"/>
      <c r="I72" s="60"/>
      <c r="J72" s="8"/>
      <c r="K72" s="8"/>
      <c r="L72" s="8"/>
      <c r="M72" s="8"/>
      <c r="N72" s="7"/>
      <c r="O72" s="7"/>
      <c r="P72" s="7"/>
      <c r="Q72" s="7"/>
      <c r="R72" s="7"/>
      <c r="S72" s="20" t="s">
        <v>337</v>
      </c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>
        <f t="shared" si="0"/>
        <v>992</v>
      </c>
      <c r="AH72" s="7"/>
      <c r="AI72" s="7"/>
      <c r="AJ72" s="58"/>
    </row>
    <row r="73" spans="2:36" ht="78" customHeight="1" x14ac:dyDescent="0.2">
      <c r="B73" s="13" t="s">
        <v>338</v>
      </c>
      <c r="C73" s="15" t="s">
        <v>339</v>
      </c>
      <c r="D73" s="21">
        <v>2210</v>
      </c>
      <c r="E73" s="7"/>
      <c r="F73" s="59"/>
      <c r="G73" s="7"/>
      <c r="H73" s="33"/>
      <c r="I73" s="60">
        <v>700</v>
      </c>
      <c r="J73" s="8"/>
      <c r="K73" s="8"/>
      <c r="L73" s="8"/>
      <c r="M73" s="8"/>
      <c r="N73" s="7"/>
      <c r="O73" s="7">
        <v>1050</v>
      </c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>
        <f t="shared" si="0"/>
        <v>1750</v>
      </c>
      <c r="AH73" s="7"/>
      <c r="AI73" s="7"/>
      <c r="AJ73" s="58"/>
    </row>
    <row r="74" spans="2:36" ht="78" customHeight="1" x14ac:dyDescent="0.2">
      <c r="B74" s="13" t="s">
        <v>340</v>
      </c>
      <c r="C74" s="15" t="s">
        <v>341</v>
      </c>
      <c r="D74" s="15">
        <v>2210</v>
      </c>
      <c r="E74" s="7"/>
      <c r="F74" s="59"/>
      <c r="G74" s="7"/>
      <c r="H74" s="33"/>
      <c r="I74" s="60"/>
      <c r="J74" s="8"/>
      <c r="K74" s="8"/>
      <c r="L74" s="8"/>
      <c r="M74" s="8"/>
      <c r="N74" s="7"/>
      <c r="O74" s="7"/>
      <c r="P74" s="7"/>
      <c r="Q74" s="7"/>
      <c r="R74" s="7"/>
      <c r="S74" s="20" t="s">
        <v>342</v>
      </c>
      <c r="T74" s="63">
        <v>500</v>
      </c>
      <c r="U74" s="20"/>
      <c r="V74" s="20"/>
      <c r="W74" s="20"/>
      <c r="X74" s="7"/>
      <c r="Y74" s="7"/>
      <c r="Z74" s="7"/>
      <c r="AA74" s="7">
        <v>209.23</v>
      </c>
      <c r="AB74" s="7"/>
      <c r="AC74" s="7"/>
      <c r="AD74" s="7"/>
      <c r="AE74" s="7"/>
      <c r="AF74" s="7"/>
      <c r="AG74" s="7">
        <f t="shared" ref="AG74:AG138" si="2">G74+I74+J74+K74+L74+M74+N74+O74+P74+Q74+R74+S74+T74+U74+V74+W74+X74+Y74+Z74+AA74+AB74+AC74+AD74+AE74+AF74</f>
        <v>867.23</v>
      </c>
      <c r="AH74" s="7"/>
      <c r="AI74" s="7"/>
      <c r="AJ74" s="58"/>
    </row>
    <row r="75" spans="2:36" ht="78" customHeight="1" x14ac:dyDescent="0.2">
      <c r="B75" s="13" t="s">
        <v>343</v>
      </c>
      <c r="C75" s="15" t="s">
        <v>344</v>
      </c>
      <c r="D75" s="15">
        <v>2210</v>
      </c>
      <c r="E75" s="7"/>
      <c r="F75" s="59"/>
      <c r="G75" s="7"/>
      <c r="H75" s="33"/>
      <c r="I75" s="60"/>
      <c r="J75" s="8"/>
      <c r="K75" s="8"/>
      <c r="L75" s="8"/>
      <c r="M75" s="8"/>
      <c r="N75" s="7"/>
      <c r="O75" s="7"/>
      <c r="P75" s="7"/>
      <c r="Q75" s="7"/>
      <c r="R75" s="7"/>
      <c r="S75" s="20" t="s">
        <v>345</v>
      </c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>
        <f t="shared" si="2"/>
        <v>130</v>
      </c>
      <c r="AH75" s="7"/>
      <c r="AI75" s="7"/>
      <c r="AJ75" s="58"/>
    </row>
    <row r="76" spans="2:36" ht="78" customHeight="1" x14ac:dyDescent="0.2">
      <c r="B76" s="13" t="s">
        <v>346</v>
      </c>
      <c r="C76" s="15" t="s">
        <v>347</v>
      </c>
      <c r="D76" s="15">
        <v>2210</v>
      </c>
      <c r="E76" s="7"/>
      <c r="F76" s="59"/>
      <c r="G76" s="7"/>
      <c r="H76" s="33"/>
      <c r="I76" s="60"/>
      <c r="J76" s="8"/>
      <c r="K76" s="8"/>
      <c r="L76" s="8"/>
      <c r="M76" s="8"/>
      <c r="N76" s="7"/>
      <c r="O76" s="7"/>
      <c r="P76" s="7"/>
      <c r="Q76" s="7"/>
      <c r="R76" s="7"/>
      <c r="S76" s="20"/>
      <c r="T76" s="7"/>
      <c r="U76" s="7"/>
      <c r="V76" s="7"/>
      <c r="W76" s="7"/>
      <c r="X76" s="7"/>
      <c r="Y76" s="7"/>
      <c r="Z76" s="7"/>
      <c r="AA76" s="7"/>
      <c r="AB76" s="7">
        <v>148</v>
      </c>
      <c r="AC76" s="7"/>
      <c r="AD76" s="7"/>
      <c r="AE76" s="7"/>
      <c r="AF76" s="7"/>
      <c r="AG76" s="7">
        <f t="shared" si="2"/>
        <v>148</v>
      </c>
      <c r="AH76" s="7"/>
      <c r="AI76" s="7"/>
      <c r="AJ76" s="58"/>
    </row>
    <row r="77" spans="2:36" ht="78" customHeight="1" x14ac:dyDescent="0.2">
      <c r="B77" s="13" t="s">
        <v>348</v>
      </c>
      <c r="C77" s="15" t="s">
        <v>349</v>
      </c>
      <c r="D77" s="15">
        <v>2210</v>
      </c>
      <c r="E77" s="7"/>
      <c r="F77" s="59"/>
      <c r="G77" s="7"/>
      <c r="H77" s="33"/>
      <c r="I77" s="60"/>
      <c r="J77" s="8"/>
      <c r="K77" s="8"/>
      <c r="L77" s="8"/>
      <c r="M77" s="8"/>
      <c r="N77" s="7"/>
      <c r="O77" s="7"/>
      <c r="P77" s="7"/>
      <c r="Q77" s="7"/>
      <c r="R77" s="7"/>
      <c r="S77" s="20"/>
      <c r="T77" s="7"/>
      <c r="U77" s="7"/>
      <c r="V77" s="7"/>
      <c r="W77" s="7"/>
      <c r="X77" s="7"/>
      <c r="Y77" s="7"/>
      <c r="Z77" s="7"/>
      <c r="AA77" s="7">
        <v>71</v>
      </c>
      <c r="AB77" s="7"/>
      <c r="AC77" s="7"/>
      <c r="AD77" s="7"/>
      <c r="AE77" s="7"/>
      <c r="AF77" s="7"/>
      <c r="AG77" s="7">
        <f t="shared" si="2"/>
        <v>71</v>
      </c>
      <c r="AH77" s="7"/>
      <c r="AI77" s="7"/>
      <c r="AJ77" s="58"/>
    </row>
    <row r="78" spans="2:36" ht="78" customHeight="1" x14ac:dyDescent="0.2">
      <c r="B78" s="19" t="s">
        <v>350</v>
      </c>
      <c r="C78" s="15" t="s">
        <v>351</v>
      </c>
      <c r="D78" s="15">
        <v>2210</v>
      </c>
      <c r="E78" s="7"/>
      <c r="F78" s="59"/>
      <c r="G78" s="7"/>
      <c r="H78" s="33"/>
      <c r="I78" s="60"/>
      <c r="J78" s="8"/>
      <c r="K78" s="8"/>
      <c r="L78" s="8"/>
      <c r="M78" s="8"/>
      <c r="N78" s="7"/>
      <c r="O78" s="7"/>
      <c r="P78" s="7"/>
      <c r="Q78" s="7"/>
      <c r="R78" s="7"/>
      <c r="S78" s="20"/>
      <c r="T78" s="7"/>
      <c r="U78" s="7"/>
      <c r="V78" s="7"/>
      <c r="W78" s="7"/>
      <c r="X78" s="7"/>
      <c r="Y78" s="7"/>
      <c r="Z78" s="62">
        <v>340</v>
      </c>
      <c r="AA78" s="7">
        <v>180</v>
      </c>
      <c r="AB78" s="7">
        <f>368+294</f>
        <v>662</v>
      </c>
      <c r="AC78" s="7"/>
      <c r="AD78" s="7"/>
      <c r="AE78" s="7"/>
      <c r="AF78" s="7"/>
      <c r="AG78" s="7">
        <f t="shared" si="2"/>
        <v>1182</v>
      </c>
      <c r="AH78" s="7"/>
      <c r="AI78" s="7"/>
      <c r="AJ78" s="58"/>
    </row>
    <row r="79" spans="2:36" ht="78" customHeight="1" x14ac:dyDescent="0.2">
      <c r="B79" s="13" t="s">
        <v>352</v>
      </c>
      <c r="C79" s="15" t="s">
        <v>353</v>
      </c>
      <c r="D79" s="21">
        <v>2210</v>
      </c>
      <c r="E79" s="7"/>
      <c r="F79" s="59" t="s">
        <v>354</v>
      </c>
      <c r="G79" s="7">
        <v>1300</v>
      </c>
      <c r="H79" s="33"/>
      <c r="I79" s="60">
        <v>750</v>
      </c>
      <c r="J79" s="8"/>
      <c r="K79" s="8"/>
      <c r="L79" s="8"/>
      <c r="M79" s="8"/>
      <c r="N79" s="7">
        <v>450</v>
      </c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>
        <f t="shared" si="2"/>
        <v>2500</v>
      </c>
      <c r="AH79" s="7"/>
      <c r="AI79" s="7"/>
      <c r="AJ79" s="58"/>
    </row>
    <row r="80" spans="2:36" ht="78" customHeight="1" x14ac:dyDescent="0.2">
      <c r="B80" s="13" t="s">
        <v>355</v>
      </c>
      <c r="C80" s="15" t="s">
        <v>356</v>
      </c>
      <c r="D80" s="21">
        <v>2210</v>
      </c>
      <c r="E80" s="7"/>
      <c r="F80" s="7"/>
      <c r="G80" s="33"/>
      <c r="H80" s="59"/>
      <c r="I80" s="60">
        <v>1400</v>
      </c>
      <c r="J80" s="8"/>
      <c r="K80" s="8"/>
      <c r="L80" s="8"/>
      <c r="M80" s="8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>
        <f t="shared" si="2"/>
        <v>1400</v>
      </c>
      <c r="AH80" s="7"/>
      <c r="AI80" s="7"/>
      <c r="AJ80" s="58"/>
    </row>
    <row r="81" spans="2:36" ht="15.75" customHeight="1" x14ac:dyDescent="0.2">
      <c r="B81" s="13" t="s">
        <v>357</v>
      </c>
      <c r="C81" s="15" t="s">
        <v>358</v>
      </c>
      <c r="D81" s="21">
        <v>2210</v>
      </c>
      <c r="E81" s="64"/>
      <c r="F81" s="59"/>
      <c r="G81" s="7"/>
      <c r="H81" s="33"/>
      <c r="I81" s="60"/>
      <c r="J81" s="8"/>
      <c r="K81" s="60"/>
      <c r="L81" s="8"/>
      <c r="M81" s="8"/>
      <c r="N81" s="7"/>
      <c r="O81" s="7"/>
      <c r="P81" s="7"/>
      <c r="Q81" s="7"/>
      <c r="R81" s="7"/>
      <c r="S81" s="59" t="s">
        <v>359</v>
      </c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>
        <f t="shared" si="2"/>
        <v>1176</v>
      </c>
      <c r="AH81" s="7"/>
      <c r="AI81" s="7"/>
      <c r="AJ81" s="58"/>
    </row>
    <row r="82" spans="2:36" ht="86.25" customHeight="1" x14ac:dyDescent="0.2">
      <c r="B82" s="13" t="s">
        <v>360</v>
      </c>
      <c r="C82" s="15" t="s">
        <v>361</v>
      </c>
      <c r="D82" s="21">
        <v>2210</v>
      </c>
      <c r="E82" s="64"/>
      <c r="F82" s="59"/>
      <c r="G82" s="7"/>
      <c r="H82" s="33"/>
      <c r="I82" s="60">
        <v>600</v>
      </c>
      <c r="J82" s="8"/>
      <c r="K82" s="60">
        <v>7500</v>
      </c>
      <c r="L82" s="8"/>
      <c r="M82" s="8"/>
      <c r="N82" s="7"/>
      <c r="O82" s="7"/>
      <c r="P82" s="7">
        <v>2500</v>
      </c>
      <c r="Q82" s="7"/>
      <c r="R82" s="7"/>
      <c r="S82" s="20" t="s">
        <v>362</v>
      </c>
      <c r="T82" s="7"/>
      <c r="U82" s="7"/>
      <c r="V82" s="7"/>
      <c r="W82" s="7"/>
      <c r="X82" s="7"/>
      <c r="Y82" s="7"/>
      <c r="Z82" s="7"/>
      <c r="AA82" s="7"/>
      <c r="AB82" s="7"/>
      <c r="AC82" s="7">
        <v>60365</v>
      </c>
      <c r="AD82" s="7"/>
      <c r="AE82" s="7"/>
      <c r="AF82" s="7"/>
      <c r="AG82" s="7">
        <f t="shared" si="2"/>
        <v>76215</v>
      </c>
      <c r="AH82" s="7"/>
      <c r="AI82" s="7"/>
      <c r="AJ82" s="58"/>
    </row>
    <row r="83" spans="2:36" ht="54.6" customHeight="1" x14ac:dyDescent="0.2">
      <c r="B83" s="13" t="s">
        <v>363</v>
      </c>
      <c r="C83" s="15" t="s">
        <v>364</v>
      </c>
      <c r="D83" s="15">
        <v>2210</v>
      </c>
      <c r="E83" s="15"/>
      <c r="F83" s="15"/>
      <c r="G83" s="7"/>
      <c r="H83" s="33"/>
      <c r="I83" s="60"/>
      <c r="J83" s="8"/>
      <c r="K83" s="60"/>
      <c r="L83" s="8"/>
      <c r="M83" s="8"/>
      <c r="N83" s="7"/>
      <c r="O83" s="7"/>
      <c r="P83" s="7"/>
      <c r="Q83" s="7"/>
      <c r="R83" s="20" t="s">
        <v>365</v>
      </c>
      <c r="S83" s="20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>
        <f t="shared" si="2"/>
        <v>516</v>
      </c>
      <c r="AH83" s="7"/>
      <c r="AI83" s="7"/>
      <c r="AJ83" s="58"/>
    </row>
    <row r="84" spans="2:36" ht="33" x14ac:dyDescent="0.2">
      <c r="B84" s="13" t="s">
        <v>366</v>
      </c>
      <c r="C84" s="15" t="s">
        <v>367</v>
      </c>
      <c r="D84" s="15">
        <v>2210</v>
      </c>
      <c r="E84" s="15"/>
      <c r="F84" s="15"/>
      <c r="G84" s="7"/>
      <c r="H84" s="33"/>
      <c r="I84" s="60"/>
      <c r="J84" s="8"/>
      <c r="K84" s="60"/>
      <c r="L84" s="8"/>
      <c r="M84" s="8"/>
      <c r="N84" s="7"/>
      <c r="O84" s="7"/>
      <c r="P84" s="7"/>
      <c r="Q84" s="7"/>
      <c r="R84" s="20"/>
      <c r="S84" s="20"/>
      <c r="T84" s="7"/>
      <c r="U84" s="7"/>
      <c r="V84" s="7"/>
      <c r="W84" s="7"/>
      <c r="X84" s="7"/>
      <c r="Y84" s="7"/>
      <c r="Z84" s="7">
        <v>2600</v>
      </c>
      <c r="AA84" s="7"/>
      <c r="AB84" s="7"/>
      <c r="AC84" s="7"/>
      <c r="AD84" s="7"/>
      <c r="AE84" s="7"/>
      <c r="AF84" s="7"/>
      <c r="AG84" s="7">
        <f t="shared" si="2"/>
        <v>2600</v>
      </c>
      <c r="AH84" s="7"/>
      <c r="AI84" s="7"/>
      <c r="AJ84" s="58"/>
    </row>
    <row r="85" spans="2:36" ht="54.6" customHeight="1" x14ac:dyDescent="0.2">
      <c r="B85" s="13" t="s">
        <v>368</v>
      </c>
      <c r="C85" s="15" t="s">
        <v>369</v>
      </c>
      <c r="D85" s="15">
        <v>2210</v>
      </c>
      <c r="E85" s="7"/>
      <c r="F85" s="59"/>
      <c r="G85" s="7"/>
      <c r="H85" s="33"/>
      <c r="I85" s="60"/>
      <c r="J85" s="8"/>
      <c r="K85" s="60"/>
      <c r="L85" s="8"/>
      <c r="M85" s="8"/>
      <c r="N85" s="7"/>
      <c r="O85" s="7"/>
      <c r="P85" s="7"/>
      <c r="Q85" s="7"/>
      <c r="R85" s="7"/>
      <c r="S85" s="20" t="s">
        <v>370</v>
      </c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>
        <f t="shared" si="2"/>
        <v>38.799999999999997</v>
      </c>
      <c r="AH85" s="7"/>
      <c r="AI85" s="7"/>
      <c r="AJ85" s="58"/>
    </row>
    <row r="86" spans="2:36" ht="54.6" customHeight="1" x14ac:dyDescent="0.2">
      <c r="B86" s="13" t="s">
        <v>371</v>
      </c>
      <c r="C86" s="15" t="s">
        <v>372</v>
      </c>
      <c r="D86" s="15">
        <v>2210</v>
      </c>
      <c r="E86" s="7"/>
      <c r="F86" s="59"/>
      <c r="G86" s="7"/>
      <c r="H86" s="33"/>
      <c r="I86" s="60"/>
      <c r="J86" s="8"/>
      <c r="K86" s="60"/>
      <c r="L86" s="8"/>
      <c r="M86" s="8"/>
      <c r="N86" s="7"/>
      <c r="O86" s="7"/>
      <c r="P86" s="7"/>
      <c r="Q86" s="7"/>
      <c r="R86" s="7"/>
      <c r="S86" s="20"/>
      <c r="T86" s="63">
        <v>506.25</v>
      </c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>
        <f t="shared" si="2"/>
        <v>506.25</v>
      </c>
      <c r="AH86" s="7"/>
      <c r="AI86" s="7"/>
      <c r="AJ86" s="58"/>
    </row>
    <row r="87" spans="2:36" ht="54.6" customHeight="1" x14ac:dyDescent="0.2">
      <c r="B87" s="13" t="s">
        <v>373</v>
      </c>
      <c r="C87" s="15" t="s">
        <v>374</v>
      </c>
      <c r="D87" s="21">
        <v>2210</v>
      </c>
      <c r="E87" s="7"/>
      <c r="F87" s="59"/>
      <c r="G87" s="7"/>
      <c r="H87" s="33"/>
      <c r="I87" s="60"/>
      <c r="J87" s="8"/>
      <c r="K87" s="60"/>
      <c r="L87" s="8"/>
      <c r="M87" s="8"/>
      <c r="N87" s="7">
        <v>3000</v>
      </c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>
        <f t="shared" si="2"/>
        <v>3000</v>
      </c>
      <c r="AH87" s="7"/>
      <c r="AI87" s="7"/>
      <c r="AJ87" s="58"/>
    </row>
    <row r="88" spans="2:36" ht="54.6" customHeight="1" x14ac:dyDescent="0.2">
      <c r="B88" s="13" t="s">
        <v>375</v>
      </c>
      <c r="C88" s="15" t="s">
        <v>376</v>
      </c>
      <c r="D88" s="21">
        <v>2210</v>
      </c>
      <c r="E88" s="7">
        <v>3000</v>
      </c>
      <c r="F88" s="59" t="s">
        <v>377</v>
      </c>
      <c r="G88" s="7">
        <f>E88+F88</f>
        <v>6000</v>
      </c>
      <c r="H88" s="33"/>
      <c r="I88" s="7"/>
      <c r="J88" s="7"/>
      <c r="K88" s="7"/>
      <c r="L88" s="8"/>
      <c r="M88" s="8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>
        <f t="shared" si="2"/>
        <v>6000</v>
      </c>
      <c r="AH88" s="7"/>
      <c r="AI88" s="7"/>
      <c r="AJ88" s="58"/>
    </row>
    <row r="89" spans="2:36" ht="54.6" customHeight="1" x14ac:dyDescent="0.2">
      <c r="B89" s="13" t="s">
        <v>378</v>
      </c>
      <c r="C89" s="15" t="s">
        <v>379</v>
      </c>
      <c r="D89" s="21">
        <v>2210</v>
      </c>
      <c r="E89" s="7"/>
      <c r="F89" s="7">
        <v>850</v>
      </c>
      <c r="G89" s="7">
        <f>E89+F89</f>
        <v>850</v>
      </c>
      <c r="H89" s="7" t="s">
        <v>380</v>
      </c>
      <c r="I89" s="7"/>
      <c r="J89" s="7"/>
      <c r="K89" s="7"/>
      <c r="L89" s="8"/>
      <c r="M89" s="8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>
        <f t="shared" si="2"/>
        <v>850</v>
      </c>
      <c r="AH89" s="7"/>
      <c r="AI89" s="7"/>
      <c r="AJ89" s="58" t="s">
        <v>380</v>
      </c>
    </row>
    <row r="90" spans="2:36" ht="54.6" customHeight="1" x14ac:dyDescent="0.2">
      <c r="B90" s="13" t="s">
        <v>381</v>
      </c>
      <c r="C90" s="15" t="s">
        <v>223</v>
      </c>
      <c r="D90" s="21">
        <v>2210</v>
      </c>
      <c r="E90" s="7"/>
      <c r="F90" s="7">
        <v>63.75</v>
      </c>
      <c r="G90" s="7">
        <f t="shared" ref="G90:G151" si="3">E90+F90</f>
        <v>63.75</v>
      </c>
      <c r="H90" s="7" t="s">
        <v>380</v>
      </c>
      <c r="I90" s="7"/>
      <c r="J90" s="7"/>
      <c r="K90" s="7"/>
      <c r="L90" s="8"/>
      <c r="M90" s="8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>
        <f t="shared" si="2"/>
        <v>63.75</v>
      </c>
      <c r="AH90" s="7"/>
      <c r="AI90" s="7"/>
      <c r="AJ90" s="58" t="s">
        <v>380</v>
      </c>
    </row>
    <row r="91" spans="2:36" ht="54.6" customHeight="1" x14ac:dyDescent="0.2">
      <c r="B91" s="13" t="s">
        <v>382</v>
      </c>
      <c r="C91" s="15" t="s">
        <v>383</v>
      </c>
      <c r="D91" s="21">
        <v>2210</v>
      </c>
      <c r="E91" s="7"/>
      <c r="F91" s="7">
        <v>320.76</v>
      </c>
      <c r="G91" s="7">
        <f t="shared" si="3"/>
        <v>320.76</v>
      </c>
      <c r="H91" s="7" t="s">
        <v>380</v>
      </c>
      <c r="I91" s="7"/>
      <c r="J91" s="7"/>
      <c r="K91" s="7"/>
      <c r="L91" s="8"/>
      <c r="M91" s="8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>
        <f t="shared" si="2"/>
        <v>320.76</v>
      </c>
      <c r="AH91" s="7"/>
      <c r="AI91" s="7"/>
      <c r="AJ91" s="58" t="s">
        <v>380</v>
      </c>
    </row>
    <row r="92" spans="2:36" ht="54.6" customHeight="1" x14ac:dyDescent="0.2">
      <c r="B92" s="13" t="s">
        <v>227</v>
      </c>
      <c r="C92" s="15" t="s">
        <v>228</v>
      </c>
      <c r="D92" s="21">
        <v>2210</v>
      </c>
      <c r="E92" s="7"/>
      <c r="F92" s="7">
        <v>98.94</v>
      </c>
      <c r="G92" s="7">
        <f t="shared" si="3"/>
        <v>98.94</v>
      </c>
      <c r="H92" s="7" t="s">
        <v>380</v>
      </c>
      <c r="I92" s="7"/>
      <c r="J92" s="7"/>
      <c r="K92" s="7"/>
      <c r="L92" s="8"/>
      <c r="M92" s="8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>
        <f t="shared" si="2"/>
        <v>98.94</v>
      </c>
      <c r="AH92" s="7"/>
      <c r="AI92" s="7"/>
      <c r="AJ92" s="58" t="s">
        <v>380</v>
      </c>
    </row>
    <row r="93" spans="2:36" ht="54.6" customHeight="1" x14ac:dyDescent="0.2">
      <c r="B93" s="13" t="s">
        <v>384</v>
      </c>
      <c r="C93" s="15" t="s">
        <v>385</v>
      </c>
      <c r="D93" s="21">
        <v>2210</v>
      </c>
      <c r="E93" s="7"/>
      <c r="F93" s="7">
        <v>865.44</v>
      </c>
      <c r="G93" s="7">
        <f t="shared" si="3"/>
        <v>865.44</v>
      </c>
      <c r="H93" s="7" t="s">
        <v>380</v>
      </c>
      <c r="I93" s="7"/>
      <c r="J93" s="7"/>
      <c r="K93" s="7"/>
      <c r="L93" s="8"/>
      <c r="M93" s="8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>
        <f t="shared" si="2"/>
        <v>865.44</v>
      </c>
      <c r="AH93" s="7"/>
      <c r="AI93" s="7"/>
      <c r="AJ93" s="58" t="s">
        <v>380</v>
      </c>
    </row>
    <row r="94" spans="2:36" ht="54.6" customHeight="1" x14ac:dyDescent="0.2">
      <c r="B94" s="13" t="s">
        <v>386</v>
      </c>
      <c r="C94" s="15" t="s">
        <v>231</v>
      </c>
      <c r="D94" s="21">
        <v>2210</v>
      </c>
      <c r="E94" s="7"/>
      <c r="F94" s="7">
        <v>74.900000000000006</v>
      </c>
      <c r="G94" s="7">
        <f t="shared" si="3"/>
        <v>74.900000000000006</v>
      </c>
      <c r="H94" s="7" t="s">
        <v>380</v>
      </c>
      <c r="I94" s="7"/>
      <c r="J94" s="7"/>
      <c r="K94" s="7"/>
      <c r="L94" s="8"/>
      <c r="M94" s="8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>
        <f t="shared" si="2"/>
        <v>74.900000000000006</v>
      </c>
      <c r="AH94" s="7"/>
      <c r="AI94" s="7"/>
      <c r="AJ94" s="58" t="s">
        <v>380</v>
      </c>
    </row>
    <row r="95" spans="2:36" ht="54.6" customHeight="1" x14ac:dyDescent="0.2">
      <c r="B95" s="13" t="s">
        <v>43</v>
      </c>
      <c r="C95" s="15" t="s">
        <v>44</v>
      </c>
      <c r="D95" s="21">
        <v>2210</v>
      </c>
      <c r="E95" s="7"/>
      <c r="F95" s="7">
        <v>947.5</v>
      </c>
      <c r="G95" s="7">
        <f t="shared" si="3"/>
        <v>947.5</v>
      </c>
      <c r="H95" s="7" t="s">
        <v>380</v>
      </c>
      <c r="I95" s="7"/>
      <c r="J95" s="7"/>
      <c r="K95" s="7"/>
      <c r="L95" s="8"/>
      <c r="M95" s="8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>
        <f t="shared" si="2"/>
        <v>947.5</v>
      </c>
      <c r="AH95" s="7"/>
      <c r="AI95" s="7"/>
      <c r="AJ95" s="58" t="s">
        <v>380</v>
      </c>
    </row>
    <row r="96" spans="2:36" ht="54.6" customHeight="1" x14ac:dyDescent="0.2">
      <c r="B96" s="13" t="s">
        <v>46</v>
      </c>
      <c r="C96" s="15" t="s">
        <v>47</v>
      </c>
      <c r="D96" s="21">
        <v>2210</v>
      </c>
      <c r="E96" s="7"/>
      <c r="F96" s="7">
        <f>3285.76-700.16</f>
        <v>2585.6000000000004</v>
      </c>
      <c r="G96" s="7">
        <f t="shared" si="3"/>
        <v>2585.6000000000004</v>
      </c>
      <c r="H96" s="7" t="s">
        <v>380</v>
      </c>
      <c r="I96" s="7"/>
      <c r="J96" s="7"/>
      <c r="K96" s="7"/>
      <c r="L96" s="8"/>
      <c r="M96" s="8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>
        <f t="shared" si="2"/>
        <v>2585.6000000000004</v>
      </c>
      <c r="AH96" s="7"/>
      <c r="AI96" s="7"/>
      <c r="AJ96" s="58" t="s">
        <v>380</v>
      </c>
    </row>
    <row r="97" spans="2:36" ht="54.6" customHeight="1" x14ac:dyDescent="0.2">
      <c r="B97" s="13" t="s">
        <v>244</v>
      </c>
      <c r="C97" s="15" t="s">
        <v>245</v>
      </c>
      <c r="D97" s="21">
        <v>2210</v>
      </c>
      <c r="E97" s="7"/>
      <c r="F97" s="7">
        <v>5151.6000000000004</v>
      </c>
      <c r="G97" s="7">
        <f t="shared" si="3"/>
        <v>5151.6000000000004</v>
      </c>
      <c r="H97" s="7" t="s">
        <v>380</v>
      </c>
      <c r="I97" s="7"/>
      <c r="J97" s="7"/>
      <c r="K97" s="7"/>
      <c r="L97" s="8"/>
      <c r="M97" s="8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>
        <f t="shared" si="2"/>
        <v>5151.6000000000004</v>
      </c>
      <c r="AH97" s="7"/>
      <c r="AI97" s="7"/>
      <c r="AJ97" s="58" t="s">
        <v>380</v>
      </c>
    </row>
    <row r="98" spans="2:36" ht="54.6" customHeight="1" x14ac:dyDescent="0.2">
      <c r="B98" s="13" t="s">
        <v>38</v>
      </c>
      <c r="C98" s="15" t="s">
        <v>39</v>
      </c>
      <c r="D98" s="21">
        <v>2210</v>
      </c>
      <c r="E98" s="7"/>
      <c r="F98" s="7">
        <v>897</v>
      </c>
      <c r="G98" s="7">
        <f t="shared" si="3"/>
        <v>897</v>
      </c>
      <c r="H98" s="7" t="s">
        <v>380</v>
      </c>
      <c r="I98" s="7"/>
      <c r="J98" s="7"/>
      <c r="K98" s="7"/>
      <c r="L98" s="8"/>
      <c r="M98" s="8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>
        <f t="shared" si="2"/>
        <v>897</v>
      </c>
      <c r="AH98" s="7"/>
      <c r="AI98" s="7"/>
      <c r="AJ98" s="58" t="s">
        <v>380</v>
      </c>
    </row>
    <row r="99" spans="2:36" ht="54.6" customHeight="1" x14ac:dyDescent="0.2">
      <c r="B99" s="13" t="s">
        <v>65</v>
      </c>
      <c r="C99" s="15" t="s">
        <v>66</v>
      </c>
      <c r="D99" s="21">
        <v>2210</v>
      </c>
      <c r="E99" s="7"/>
      <c r="F99" s="7">
        <v>1027.78</v>
      </c>
      <c r="G99" s="7">
        <f t="shared" si="3"/>
        <v>1027.78</v>
      </c>
      <c r="H99" s="7" t="s">
        <v>380</v>
      </c>
      <c r="I99" s="7"/>
      <c r="J99" s="7"/>
      <c r="K99" s="7"/>
      <c r="L99" s="8"/>
      <c r="M99" s="8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>
        <f t="shared" si="2"/>
        <v>1027.78</v>
      </c>
      <c r="AH99" s="7"/>
      <c r="AI99" s="7"/>
      <c r="AJ99" s="58" t="s">
        <v>380</v>
      </c>
    </row>
    <row r="100" spans="2:36" ht="54.6" customHeight="1" x14ac:dyDescent="0.2">
      <c r="B100" s="13" t="s">
        <v>41</v>
      </c>
      <c r="C100" s="15" t="s">
        <v>249</v>
      </c>
      <c r="D100" s="21">
        <v>2210</v>
      </c>
      <c r="E100" s="7"/>
      <c r="F100" s="7">
        <v>14705</v>
      </c>
      <c r="G100" s="7">
        <f t="shared" si="3"/>
        <v>14705</v>
      </c>
      <c r="H100" s="7" t="s">
        <v>380</v>
      </c>
      <c r="I100" s="7"/>
      <c r="J100" s="7"/>
      <c r="K100" s="7"/>
      <c r="L100" s="8"/>
      <c r="M100" s="8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>
        <f t="shared" si="2"/>
        <v>14705</v>
      </c>
      <c r="AH100" s="7"/>
      <c r="AI100" s="7"/>
      <c r="AJ100" s="58" t="s">
        <v>380</v>
      </c>
    </row>
    <row r="101" spans="2:36" ht="54.6" customHeight="1" x14ac:dyDescent="0.2">
      <c r="B101" s="13" t="s">
        <v>67</v>
      </c>
      <c r="C101" s="15" t="s">
        <v>68</v>
      </c>
      <c r="D101" s="21">
        <v>2210</v>
      </c>
      <c r="E101" s="7"/>
      <c r="F101" s="7">
        <v>156</v>
      </c>
      <c r="G101" s="7">
        <f t="shared" si="3"/>
        <v>156</v>
      </c>
      <c r="H101" s="7" t="s">
        <v>380</v>
      </c>
      <c r="I101" s="7"/>
      <c r="J101" s="7"/>
      <c r="K101" s="7"/>
      <c r="L101" s="8"/>
      <c r="M101" s="8"/>
      <c r="N101" s="7"/>
      <c r="O101" s="7"/>
      <c r="P101" s="7"/>
      <c r="Q101" s="7"/>
      <c r="R101" s="7"/>
      <c r="S101" s="7"/>
      <c r="T101" s="20"/>
      <c r="U101" s="20"/>
      <c r="V101" s="20"/>
      <c r="W101" s="20"/>
      <c r="X101" s="7"/>
      <c r="Y101" s="7"/>
      <c r="Z101" s="7"/>
      <c r="AA101" s="7"/>
      <c r="AB101" s="7"/>
      <c r="AC101" s="7"/>
      <c r="AD101" s="7"/>
      <c r="AE101" s="7"/>
      <c r="AF101" s="7"/>
      <c r="AG101" s="7">
        <f t="shared" si="2"/>
        <v>156</v>
      </c>
      <c r="AH101" s="7"/>
      <c r="AI101" s="7"/>
      <c r="AJ101" s="58" t="s">
        <v>380</v>
      </c>
    </row>
    <row r="102" spans="2:36" ht="54.6" customHeight="1" x14ac:dyDescent="0.2">
      <c r="B102" s="13" t="s">
        <v>70</v>
      </c>
      <c r="C102" s="15" t="s">
        <v>71</v>
      </c>
      <c r="D102" s="21">
        <v>2210</v>
      </c>
      <c r="E102" s="7"/>
      <c r="F102" s="7">
        <v>2898</v>
      </c>
      <c r="G102" s="7">
        <f t="shared" si="3"/>
        <v>2898</v>
      </c>
      <c r="H102" s="7" t="s">
        <v>380</v>
      </c>
      <c r="I102" s="7"/>
      <c r="J102" s="7"/>
      <c r="K102" s="7"/>
      <c r="L102" s="8"/>
      <c r="M102" s="8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>
        <f t="shared" si="2"/>
        <v>2898</v>
      </c>
      <c r="AH102" s="7"/>
      <c r="AI102" s="7"/>
      <c r="AJ102" s="58" t="s">
        <v>380</v>
      </c>
    </row>
    <row r="103" spans="2:36" ht="54.6" customHeight="1" x14ac:dyDescent="0.2">
      <c r="B103" s="13" t="s">
        <v>52</v>
      </c>
      <c r="C103" s="15" t="s">
        <v>53</v>
      </c>
      <c r="D103" s="21">
        <v>2210</v>
      </c>
      <c r="E103" s="7"/>
      <c r="F103" s="7">
        <v>306</v>
      </c>
      <c r="G103" s="7">
        <f t="shared" si="3"/>
        <v>306</v>
      </c>
      <c r="H103" s="7" t="s">
        <v>380</v>
      </c>
      <c r="I103" s="7"/>
      <c r="J103" s="7"/>
      <c r="K103" s="7"/>
      <c r="L103" s="8"/>
      <c r="M103" s="8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>
        <f t="shared" si="2"/>
        <v>306</v>
      </c>
      <c r="AH103" s="7"/>
      <c r="AI103" s="7"/>
      <c r="AJ103" s="58" t="s">
        <v>380</v>
      </c>
    </row>
    <row r="104" spans="2:36" ht="54.6" customHeight="1" x14ac:dyDescent="0.2">
      <c r="B104" s="13" t="s">
        <v>74</v>
      </c>
      <c r="C104" s="15" t="s">
        <v>75</v>
      </c>
      <c r="D104" s="21">
        <v>2210</v>
      </c>
      <c r="E104" s="7"/>
      <c r="F104" s="7">
        <v>738.72</v>
      </c>
      <c r="G104" s="7">
        <f t="shared" si="3"/>
        <v>738.72</v>
      </c>
      <c r="H104" s="7" t="s">
        <v>380</v>
      </c>
      <c r="I104" s="7"/>
      <c r="J104" s="7"/>
      <c r="K104" s="7"/>
      <c r="L104" s="8"/>
      <c r="M104" s="8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>
        <f t="shared" si="2"/>
        <v>738.72</v>
      </c>
      <c r="AH104" s="7"/>
      <c r="AI104" s="7"/>
      <c r="AJ104" s="58" t="s">
        <v>380</v>
      </c>
    </row>
    <row r="105" spans="2:36" ht="54.6" customHeight="1" x14ac:dyDescent="0.2">
      <c r="B105" s="13" t="s">
        <v>77</v>
      </c>
      <c r="C105" s="15" t="s">
        <v>78</v>
      </c>
      <c r="D105" s="21">
        <v>2210</v>
      </c>
      <c r="E105" s="7"/>
      <c r="F105" s="7">
        <v>1732.07</v>
      </c>
      <c r="G105" s="7">
        <f t="shared" si="3"/>
        <v>1732.07</v>
      </c>
      <c r="H105" s="7" t="s">
        <v>380</v>
      </c>
      <c r="I105" s="7"/>
      <c r="J105" s="7"/>
      <c r="K105" s="7"/>
      <c r="L105" s="8"/>
      <c r="M105" s="8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>
        <f t="shared" si="2"/>
        <v>1732.07</v>
      </c>
      <c r="AH105" s="7"/>
      <c r="AI105" s="7"/>
      <c r="AJ105" s="58" t="s">
        <v>380</v>
      </c>
    </row>
    <row r="106" spans="2:36" ht="54.6" customHeight="1" x14ac:dyDescent="0.2">
      <c r="B106" s="13" t="s">
        <v>387</v>
      </c>
      <c r="C106" s="15" t="s">
        <v>388</v>
      </c>
      <c r="D106" s="21">
        <v>2210</v>
      </c>
      <c r="E106" s="7"/>
      <c r="F106" s="7">
        <v>48</v>
      </c>
      <c r="G106" s="7">
        <f t="shared" si="3"/>
        <v>48</v>
      </c>
      <c r="H106" s="7" t="s">
        <v>380</v>
      </c>
      <c r="I106" s="7"/>
      <c r="J106" s="7"/>
      <c r="K106" s="7"/>
      <c r="L106" s="8"/>
      <c r="M106" s="8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>
        <f t="shared" si="2"/>
        <v>48</v>
      </c>
      <c r="AH106" s="7"/>
      <c r="AI106" s="7"/>
      <c r="AJ106" s="58" t="s">
        <v>380</v>
      </c>
    </row>
    <row r="107" spans="2:36" ht="54.6" customHeight="1" x14ac:dyDescent="0.2">
      <c r="B107" s="13" t="s">
        <v>256</v>
      </c>
      <c r="C107" s="15" t="s">
        <v>257</v>
      </c>
      <c r="D107" s="21">
        <v>2210</v>
      </c>
      <c r="E107" s="7"/>
      <c r="F107" s="7">
        <v>89</v>
      </c>
      <c r="G107" s="7">
        <f t="shared" si="3"/>
        <v>89</v>
      </c>
      <c r="H107" s="7" t="s">
        <v>380</v>
      </c>
      <c r="I107" s="7"/>
      <c r="J107" s="7"/>
      <c r="K107" s="7"/>
      <c r="L107" s="8"/>
      <c r="M107" s="8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>
        <f t="shared" si="2"/>
        <v>89</v>
      </c>
      <c r="AH107" s="7"/>
      <c r="AI107" s="7"/>
      <c r="AJ107" s="58" t="s">
        <v>380</v>
      </c>
    </row>
    <row r="108" spans="2:36" ht="54.6" customHeight="1" x14ac:dyDescent="0.2">
      <c r="B108" s="13" t="s">
        <v>258</v>
      </c>
      <c r="C108" s="15" t="s">
        <v>259</v>
      </c>
      <c r="D108" s="21">
        <v>2210</v>
      </c>
      <c r="E108" s="7"/>
      <c r="F108" s="7">
        <v>680</v>
      </c>
      <c r="G108" s="7">
        <f t="shared" si="3"/>
        <v>680</v>
      </c>
      <c r="H108" s="7" t="s">
        <v>380</v>
      </c>
      <c r="I108" s="7"/>
      <c r="J108" s="7"/>
      <c r="K108" s="7"/>
      <c r="L108" s="8"/>
      <c r="M108" s="8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>
        <f t="shared" si="2"/>
        <v>680</v>
      </c>
      <c r="AH108" s="7"/>
      <c r="AI108" s="7"/>
      <c r="AJ108" s="58" t="s">
        <v>380</v>
      </c>
    </row>
    <row r="109" spans="2:36" ht="54.6" customHeight="1" x14ac:dyDescent="0.2">
      <c r="B109" s="13" t="s">
        <v>260</v>
      </c>
      <c r="C109" s="15" t="s">
        <v>261</v>
      </c>
      <c r="D109" s="21">
        <v>2210</v>
      </c>
      <c r="E109" s="7"/>
      <c r="F109" s="7">
        <v>159.07</v>
      </c>
      <c r="G109" s="7">
        <f t="shared" si="3"/>
        <v>159.07</v>
      </c>
      <c r="H109" s="7" t="s">
        <v>380</v>
      </c>
      <c r="I109" s="7"/>
      <c r="J109" s="7"/>
      <c r="K109" s="7"/>
      <c r="L109" s="8"/>
      <c r="M109" s="8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>
        <f t="shared" si="2"/>
        <v>159.07</v>
      </c>
      <c r="AH109" s="7"/>
      <c r="AI109" s="7"/>
      <c r="AJ109" s="58" t="s">
        <v>380</v>
      </c>
    </row>
    <row r="110" spans="2:36" ht="54.6" customHeight="1" x14ac:dyDescent="0.2">
      <c r="B110" s="13" t="s">
        <v>262</v>
      </c>
      <c r="C110" s="15" t="s">
        <v>389</v>
      </c>
      <c r="D110" s="21">
        <v>2210</v>
      </c>
      <c r="E110" s="7"/>
      <c r="F110" s="7">
        <v>141.9</v>
      </c>
      <c r="G110" s="7">
        <f t="shared" si="3"/>
        <v>141.9</v>
      </c>
      <c r="H110" s="7" t="s">
        <v>380</v>
      </c>
      <c r="I110" s="7"/>
      <c r="J110" s="7"/>
      <c r="K110" s="7"/>
      <c r="L110" s="8"/>
      <c r="M110" s="8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>
        <f t="shared" si="2"/>
        <v>141.9</v>
      </c>
      <c r="AH110" s="7"/>
      <c r="AI110" s="7"/>
      <c r="AJ110" s="58" t="s">
        <v>380</v>
      </c>
    </row>
    <row r="111" spans="2:36" ht="54.6" customHeight="1" x14ac:dyDescent="0.2">
      <c r="B111" s="13" t="s">
        <v>81</v>
      </c>
      <c r="C111" s="15" t="s">
        <v>82</v>
      </c>
      <c r="D111" s="21">
        <v>2210</v>
      </c>
      <c r="E111" s="7"/>
      <c r="F111" s="7">
        <v>667.8</v>
      </c>
      <c r="G111" s="7">
        <f t="shared" si="3"/>
        <v>667.8</v>
      </c>
      <c r="H111" s="7" t="s">
        <v>380</v>
      </c>
      <c r="I111" s="7"/>
      <c r="J111" s="7"/>
      <c r="K111" s="7"/>
      <c r="L111" s="8"/>
      <c r="M111" s="8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>
        <f t="shared" si="2"/>
        <v>667.8</v>
      </c>
      <c r="AH111" s="7"/>
      <c r="AI111" s="7"/>
      <c r="AJ111" s="58" t="s">
        <v>380</v>
      </c>
    </row>
    <row r="112" spans="2:36" ht="54.6" customHeight="1" x14ac:dyDescent="0.2">
      <c r="B112" s="13" t="s">
        <v>390</v>
      </c>
      <c r="C112" s="15" t="s">
        <v>391</v>
      </c>
      <c r="D112" s="21">
        <v>2210</v>
      </c>
      <c r="E112" s="7"/>
      <c r="F112" s="7">
        <v>1152</v>
      </c>
      <c r="G112" s="7">
        <f t="shared" si="3"/>
        <v>1152</v>
      </c>
      <c r="H112" s="7" t="s">
        <v>380</v>
      </c>
      <c r="I112" s="7"/>
      <c r="J112" s="7"/>
      <c r="K112" s="7"/>
      <c r="L112" s="8"/>
      <c r="M112" s="8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>
        <f t="shared" si="2"/>
        <v>1152</v>
      </c>
      <c r="AH112" s="7"/>
      <c r="AI112" s="7"/>
      <c r="AJ112" s="58" t="s">
        <v>380</v>
      </c>
    </row>
    <row r="113" spans="2:36" ht="54.6" customHeight="1" x14ac:dyDescent="0.2">
      <c r="B113" s="13" t="s">
        <v>91</v>
      </c>
      <c r="C113" s="15" t="s">
        <v>92</v>
      </c>
      <c r="D113" s="21">
        <v>2210</v>
      </c>
      <c r="E113" s="7"/>
      <c r="F113" s="7">
        <v>491.88</v>
      </c>
      <c r="G113" s="7">
        <f t="shared" si="3"/>
        <v>491.88</v>
      </c>
      <c r="H113" s="7" t="s">
        <v>380</v>
      </c>
      <c r="I113" s="7"/>
      <c r="J113" s="7"/>
      <c r="K113" s="7"/>
      <c r="L113" s="8"/>
      <c r="M113" s="8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>
        <f t="shared" si="2"/>
        <v>491.88</v>
      </c>
      <c r="AH113" s="7"/>
      <c r="AI113" s="7"/>
      <c r="AJ113" s="58" t="s">
        <v>380</v>
      </c>
    </row>
    <row r="114" spans="2:36" ht="54.6" customHeight="1" x14ac:dyDescent="0.2">
      <c r="B114" s="13" t="s">
        <v>95</v>
      </c>
      <c r="C114" s="15" t="s">
        <v>96</v>
      </c>
      <c r="D114" s="21">
        <v>2210</v>
      </c>
      <c r="E114" s="7"/>
      <c r="F114" s="7">
        <v>260</v>
      </c>
      <c r="G114" s="7">
        <f t="shared" si="3"/>
        <v>260</v>
      </c>
      <c r="H114" s="7" t="s">
        <v>380</v>
      </c>
      <c r="I114" s="7"/>
      <c r="J114" s="7"/>
      <c r="K114" s="7"/>
      <c r="L114" s="8"/>
      <c r="M114" s="8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>
        <f t="shared" si="2"/>
        <v>260</v>
      </c>
      <c r="AH114" s="7"/>
      <c r="AI114" s="7"/>
      <c r="AJ114" s="58" t="s">
        <v>380</v>
      </c>
    </row>
    <row r="115" spans="2:36" ht="54.6" customHeight="1" x14ac:dyDescent="0.2">
      <c r="B115" s="13" t="s">
        <v>392</v>
      </c>
      <c r="C115" s="15" t="s">
        <v>393</v>
      </c>
      <c r="D115" s="21">
        <v>2210</v>
      </c>
      <c r="E115" s="7"/>
      <c r="F115" s="7">
        <v>77.5</v>
      </c>
      <c r="G115" s="7">
        <f t="shared" si="3"/>
        <v>77.5</v>
      </c>
      <c r="H115" s="7" t="s">
        <v>380</v>
      </c>
      <c r="I115" s="7"/>
      <c r="J115" s="7"/>
      <c r="K115" s="7"/>
      <c r="L115" s="8"/>
      <c r="M115" s="8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>
        <f t="shared" si="2"/>
        <v>77.5</v>
      </c>
      <c r="AH115" s="7"/>
      <c r="AI115" s="7"/>
      <c r="AJ115" s="58" t="s">
        <v>380</v>
      </c>
    </row>
    <row r="116" spans="2:36" ht="84" customHeight="1" x14ac:dyDescent="0.2">
      <c r="B116" s="13" t="s">
        <v>273</v>
      </c>
      <c r="C116" s="15" t="s">
        <v>394</v>
      </c>
      <c r="D116" s="21">
        <v>2210</v>
      </c>
      <c r="E116" s="7"/>
      <c r="F116" s="7">
        <v>91</v>
      </c>
      <c r="G116" s="7">
        <f t="shared" si="3"/>
        <v>91</v>
      </c>
      <c r="H116" s="7" t="s">
        <v>380</v>
      </c>
      <c r="I116" s="7"/>
      <c r="J116" s="7"/>
      <c r="K116" s="7"/>
      <c r="L116" s="8"/>
      <c r="M116" s="8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>
        <f t="shared" si="2"/>
        <v>91</v>
      </c>
      <c r="AH116" s="7"/>
      <c r="AI116" s="7"/>
      <c r="AJ116" s="58" t="s">
        <v>380</v>
      </c>
    </row>
    <row r="117" spans="2:36" ht="54.6" customHeight="1" x14ac:dyDescent="0.2">
      <c r="B117" s="13" t="s">
        <v>275</v>
      </c>
      <c r="C117" s="15" t="s">
        <v>395</v>
      </c>
      <c r="D117" s="21">
        <v>2210</v>
      </c>
      <c r="E117" s="7"/>
      <c r="F117" s="7">
        <v>348.6</v>
      </c>
      <c r="G117" s="7">
        <f t="shared" si="3"/>
        <v>348.6</v>
      </c>
      <c r="H117" s="7" t="s">
        <v>380</v>
      </c>
      <c r="I117" s="7"/>
      <c r="J117" s="7"/>
      <c r="K117" s="7"/>
      <c r="L117" s="8"/>
      <c r="M117" s="8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>
        <f t="shared" si="2"/>
        <v>348.6</v>
      </c>
      <c r="AH117" s="7"/>
      <c r="AI117" s="7"/>
      <c r="AJ117" s="58" t="s">
        <v>380</v>
      </c>
    </row>
    <row r="118" spans="2:36" ht="54.6" customHeight="1" x14ac:dyDescent="0.2">
      <c r="B118" s="13" t="s">
        <v>277</v>
      </c>
      <c r="C118" s="15" t="s">
        <v>278</v>
      </c>
      <c r="D118" s="21">
        <v>2210</v>
      </c>
      <c r="E118" s="7"/>
      <c r="F118" s="7">
        <v>207</v>
      </c>
      <c r="G118" s="7">
        <f t="shared" si="3"/>
        <v>207</v>
      </c>
      <c r="H118" s="7" t="s">
        <v>380</v>
      </c>
      <c r="I118" s="7"/>
      <c r="J118" s="7"/>
      <c r="K118" s="7"/>
      <c r="L118" s="8"/>
      <c r="M118" s="8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>
        <f t="shared" si="2"/>
        <v>207</v>
      </c>
      <c r="AH118" s="7"/>
      <c r="AI118" s="7"/>
      <c r="AJ118" s="58" t="s">
        <v>380</v>
      </c>
    </row>
    <row r="119" spans="2:36" ht="54.6" customHeight="1" x14ac:dyDescent="0.2">
      <c r="B119" s="13" t="s">
        <v>279</v>
      </c>
      <c r="C119" s="15" t="s">
        <v>280</v>
      </c>
      <c r="D119" s="21">
        <v>2210</v>
      </c>
      <c r="E119" s="7"/>
      <c r="F119" s="7">
        <v>25</v>
      </c>
      <c r="G119" s="7">
        <f t="shared" si="3"/>
        <v>25</v>
      </c>
      <c r="H119" s="7" t="s">
        <v>380</v>
      </c>
      <c r="I119" s="7"/>
      <c r="J119" s="7"/>
      <c r="K119" s="7"/>
      <c r="L119" s="8"/>
      <c r="M119" s="8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>
        <f t="shared" si="2"/>
        <v>25</v>
      </c>
      <c r="AH119" s="7"/>
      <c r="AI119" s="7"/>
      <c r="AJ119" s="58" t="s">
        <v>380</v>
      </c>
    </row>
    <row r="120" spans="2:36" ht="54.6" customHeight="1" x14ac:dyDescent="0.2">
      <c r="B120" s="13" t="s">
        <v>396</v>
      </c>
      <c r="C120" s="15" t="s">
        <v>287</v>
      </c>
      <c r="D120" s="21">
        <v>2210</v>
      </c>
      <c r="E120" s="7"/>
      <c r="F120" s="7">
        <v>601.4</v>
      </c>
      <c r="G120" s="7">
        <f t="shared" si="3"/>
        <v>601.4</v>
      </c>
      <c r="H120" s="7" t="s">
        <v>380</v>
      </c>
      <c r="I120" s="7"/>
      <c r="J120" s="7"/>
      <c r="K120" s="7"/>
      <c r="L120" s="8"/>
      <c r="M120" s="8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>
        <f t="shared" si="2"/>
        <v>601.4</v>
      </c>
      <c r="AH120" s="7"/>
      <c r="AI120" s="7"/>
      <c r="AJ120" s="58" t="s">
        <v>380</v>
      </c>
    </row>
    <row r="121" spans="2:36" ht="54.6" customHeight="1" x14ac:dyDescent="0.2">
      <c r="B121" s="13" t="s">
        <v>55</v>
      </c>
      <c r="C121" s="15" t="s">
        <v>56</v>
      </c>
      <c r="D121" s="21">
        <v>2210</v>
      </c>
      <c r="E121" s="7"/>
      <c r="F121" s="7">
        <v>836.5</v>
      </c>
      <c r="G121" s="7">
        <f t="shared" si="3"/>
        <v>836.5</v>
      </c>
      <c r="H121" s="7" t="s">
        <v>380</v>
      </c>
      <c r="I121" s="7"/>
      <c r="J121" s="7"/>
      <c r="K121" s="7"/>
      <c r="L121" s="8"/>
      <c r="M121" s="8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>
        <f t="shared" si="2"/>
        <v>836.5</v>
      </c>
      <c r="AH121" s="7"/>
      <c r="AI121" s="7"/>
      <c r="AJ121" s="58" t="s">
        <v>380</v>
      </c>
    </row>
    <row r="122" spans="2:36" ht="54.6" customHeight="1" x14ac:dyDescent="0.2">
      <c r="B122" s="13" t="s">
        <v>397</v>
      </c>
      <c r="C122" s="15" t="s">
        <v>398</v>
      </c>
      <c r="D122" s="21">
        <v>2210</v>
      </c>
      <c r="E122" s="7"/>
      <c r="F122" s="7">
        <v>5609.5</v>
      </c>
      <c r="G122" s="7">
        <f t="shared" si="3"/>
        <v>5609.5</v>
      </c>
      <c r="H122" s="7" t="s">
        <v>380</v>
      </c>
      <c r="I122" s="7"/>
      <c r="J122" s="7"/>
      <c r="K122" s="7"/>
      <c r="L122" s="8"/>
      <c r="M122" s="8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>
        <f t="shared" si="2"/>
        <v>5609.5</v>
      </c>
      <c r="AH122" s="7"/>
      <c r="AI122" s="7"/>
      <c r="AJ122" s="58" t="s">
        <v>380</v>
      </c>
    </row>
    <row r="123" spans="2:36" ht="54.6" customHeight="1" x14ac:dyDescent="0.2">
      <c r="B123" s="13" t="s">
        <v>399</v>
      </c>
      <c r="C123" s="15" t="s">
        <v>400</v>
      </c>
      <c r="D123" s="21">
        <v>2210</v>
      </c>
      <c r="E123" s="7"/>
      <c r="F123" s="7">
        <v>1342.87</v>
      </c>
      <c r="G123" s="7">
        <f t="shared" si="3"/>
        <v>1342.87</v>
      </c>
      <c r="H123" s="7" t="s">
        <v>380</v>
      </c>
      <c r="I123" s="7"/>
      <c r="J123" s="7"/>
      <c r="K123" s="7"/>
      <c r="L123" s="8"/>
      <c r="M123" s="8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>
        <f t="shared" si="2"/>
        <v>1342.87</v>
      </c>
      <c r="AH123" s="7"/>
      <c r="AI123" s="7"/>
      <c r="AJ123" s="58" t="s">
        <v>380</v>
      </c>
    </row>
    <row r="124" spans="2:36" ht="54.6" customHeight="1" x14ac:dyDescent="0.2">
      <c r="B124" s="13" t="s">
        <v>401</v>
      </c>
      <c r="C124" s="15" t="s">
        <v>402</v>
      </c>
      <c r="D124" s="21">
        <v>2210</v>
      </c>
      <c r="E124" s="7"/>
      <c r="F124" s="7">
        <v>2000</v>
      </c>
      <c r="G124" s="7">
        <f t="shared" si="3"/>
        <v>2000</v>
      </c>
      <c r="H124" s="7" t="s">
        <v>380</v>
      </c>
      <c r="I124" s="7"/>
      <c r="J124" s="7"/>
      <c r="K124" s="7"/>
      <c r="L124" s="8"/>
      <c r="M124" s="8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>
        <f t="shared" si="2"/>
        <v>2000</v>
      </c>
      <c r="AH124" s="7"/>
      <c r="AI124" s="7"/>
      <c r="AJ124" s="58" t="s">
        <v>380</v>
      </c>
    </row>
    <row r="125" spans="2:36" ht="54.6" customHeight="1" x14ac:dyDescent="0.2">
      <c r="B125" s="13" t="s">
        <v>304</v>
      </c>
      <c r="C125" s="15" t="s">
        <v>305</v>
      </c>
      <c r="D125" s="21">
        <v>2210</v>
      </c>
      <c r="E125" s="7"/>
      <c r="F125" s="7">
        <v>801</v>
      </c>
      <c r="G125" s="7">
        <f t="shared" si="3"/>
        <v>801</v>
      </c>
      <c r="H125" s="7" t="s">
        <v>380</v>
      </c>
      <c r="I125" s="7"/>
      <c r="J125" s="7"/>
      <c r="K125" s="7"/>
      <c r="L125" s="8"/>
      <c r="M125" s="8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>
        <f t="shared" si="2"/>
        <v>801</v>
      </c>
      <c r="AH125" s="7"/>
      <c r="AI125" s="7"/>
      <c r="AJ125" s="58" t="s">
        <v>380</v>
      </c>
    </row>
    <row r="126" spans="2:36" ht="54.6" customHeight="1" x14ac:dyDescent="0.2">
      <c r="B126" s="13" t="s">
        <v>307</v>
      </c>
      <c r="C126" s="15" t="s">
        <v>308</v>
      </c>
      <c r="D126" s="21">
        <v>2210</v>
      </c>
      <c r="E126" s="7"/>
      <c r="F126" s="7">
        <v>82.4</v>
      </c>
      <c r="G126" s="7">
        <f t="shared" si="3"/>
        <v>82.4</v>
      </c>
      <c r="H126" s="7" t="s">
        <v>380</v>
      </c>
      <c r="I126" s="7"/>
      <c r="J126" s="7"/>
      <c r="K126" s="7"/>
      <c r="L126" s="8"/>
      <c r="M126" s="8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>
        <f t="shared" si="2"/>
        <v>82.4</v>
      </c>
      <c r="AH126" s="7"/>
      <c r="AI126" s="7"/>
      <c r="AJ126" s="58" t="s">
        <v>380</v>
      </c>
    </row>
    <row r="127" spans="2:36" ht="54.6" customHeight="1" x14ac:dyDescent="0.2">
      <c r="B127" s="13" t="s">
        <v>403</v>
      </c>
      <c r="C127" s="15" t="s">
        <v>404</v>
      </c>
      <c r="D127" s="21">
        <v>2210</v>
      </c>
      <c r="E127" s="7">
        <v>153</v>
      </c>
      <c r="F127" s="7"/>
      <c r="G127" s="7">
        <f t="shared" si="3"/>
        <v>153</v>
      </c>
      <c r="H127" s="7" t="s">
        <v>380</v>
      </c>
      <c r="I127" s="7"/>
      <c r="J127" s="7"/>
      <c r="K127" s="7"/>
      <c r="L127" s="8"/>
      <c r="M127" s="8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>
        <f t="shared" si="2"/>
        <v>153</v>
      </c>
      <c r="AH127" s="7"/>
      <c r="AI127" s="7"/>
      <c r="AJ127" s="58" t="s">
        <v>380</v>
      </c>
    </row>
    <row r="128" spans="2:36" ht="54.6" customHeight="1" x14ac:dyDescent="0.2">
      <c r="B128" s="13" t="s">
        <v>315</v>
      </c>
      <c r="C128" s="15" t="s">
        <v>318</v>
      </c>
      <c r="D128" s="21">
        <v>2210</v>
      </c>
      <c r="E128" s="7"/>
      <c r="F128" s="7">
        <v>242.13</v>
      </c>
      <c r="G128" s="7">
        <f t="shared" si="3"/>
        <v>242.13</v>
      </c>
      <c r="H128" s="7" t="s">
        <v>380</v>
      </c>
      <c r="I128" s="7"/>
      <c r="J128" s="7"/>
      <c r="K128" s="7"/>
      <c r="L128" s="8"/>
      <c r="M128" s="8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>
        <f t="shared" si="2"/>
        <v>242.13</v>
      </c>
      <c r="AH128" s="7"/>
      <c r="AI128" s="7"/>
      <c r="AJ128" s="58" t="s">
        <v>380</v>
      </c>
    </row>
    <row r="129" spans="2:36" ht="54.6" customHeight="1" x14ac:dyDescent="0.2">
      <c r="B129" s="13" t="s">
        <v>320</v>
      </c>
      <c r="C129" s="15" t="s">
        <v>321</v>
      </c>
      <c r="D129" s="21">
        <v>2210</v>
      </c>
      <c r="E129" s="7"/>
      <c r="F129" s="7">
        <v>3458</v>
      </c>
      <c r="G129" s="7">
        <f t="shared" si="3"/>
        <v>3458</v>
      </c>
      <c r="H129" s="7" t="s">
        <v>380</v>
      </c>
      <c r="I129" s="7"/>
      <c r="J129" s="7"/>
      <c r="K129" s="7"/>
      <c r="L129" s="8"/>
      <c r="M129" s="8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>
        <f t="shared" si="2"/>
        <v>3458</v>
      </c>
      <c r="AH129" s="7"/>
      <c r="AI129" s="7"/>
      <c r="AJ129" s="58" t="s">
        <v>380</v>
      </c>
    </row>
    <row r="130" spans="2:36" ht="54.6" customHeight="1" x14ac:dyDescent="0.2">
      <c r="B130" s="13" t="s">
        <v>405</v>
      </c>
      <c r="C130" s="15" t="s">
        <v>323</v>
      </c>
      <c r="D130" s="21">
        <v>2210</v>
      </c>
      <c r="E130" s="7"/>
      <c r="F130" s="7">
        <v>301.5</v>
      </c>
      <c r="G130" s="7">
        <f t="shared" si="3"/>
        <v>301.5</v>
      </c>
      <c r="H130" s="7" t="s">
        <v>380</v>
      </c>
      <c r="I130" s="7"/>
      <c r="J130" s="7"/>
      <c r="K130" s="7"/>
      <c r="L130" s="8"/>
      <c r="M130" s="8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>
        <f t="shared" si="2"/>
        <v>301.5</v>
      </c>
      <c r="AH130" s="7"/>
      <c r="AI130" s="7"/>
      <c r="AJ130" s="58" t="s">
        <v>380</v>
      </c>
    </row>
    <row r="131" spans="2:36" ht="54.6" customHeight="1" x14ac:dyDescent="0.2">
      <c r="B131" s="13" t="s">
        <v>406</v>
      </c>
      <c r="C131" s="15" t="s">
        <v>407</v>
      </c>
      <c r="D131" s="21">
        <v>2210</v>
      </c>
      <c r="E131" s="7"/>
      <c r="F131" s="7">
        <v>310</v>
      </c>
      <c r="G131" s="7">
        <f t="shared" si="3"/>
        <v>310</v>
      </c>
      <c r="H131" s="7" t="s">
        <v>380</v>
      </c>
      <c r="I131" s="7"/>
      <c r="J131" s="7"/>
      <c r="K131" s="7"/>
      <c r="L131" s="8"/>
      <c r="M131" s="8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>
        <f t="shared" si="2"/>
        <v>310</v>
      </c>
      <c r="AH131" s="7"/>
      <c r="AI131" s="7"/>
      <c r="AJ131" s="58" t="s">
        <v>380</v>
      </c>
    </row>
    <row r="132" spans="2:36" ht="54.6" customHeight="1" x14ac:dyDescent="0.2">
      <c r="B132" s="13" t="s">
        <v>408</v>
      </c>
      <c r="C132" s="15" t="s">
        <v>409</v>
      </c>
      <c r="D132" s="21">
        <v>2210</v>
      </c>
      <c r="E132" s="7"/>
      <c r="F132" s="7">
        <v>2110</v>
      </c>
      <c r="G132" s="7">
        <f t="shared" si="3"/>
        <v>2110</v>
      </c>
      <c r="H132" s="7" t="s">
        <v>380</v>
      </c>
      <c r="I132" s="7"/>
      <c r="J132" s="7"/>
      <c r="K132" s="7"/>
      <c r="L132" s="8"/>
      <c r="M132" s="8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>
        <f t="shared" si="2"/>
        <v>2110</v>
      </c>
      <c r="AH132" s="7"/>
      <c r="AI132" s="7"/>
      <c r="AJ132" s="58" t="s">
        <v>380</v>
      </c>
    </row>
    <row r="133" spans="2:36" ht="54.6" customHeight="1" x14ac:dyDescent="0.2">
      <c r="B133" s="13" t="s">
        <v>410</v>
      </c>
      <c r="C133" s="15" t="s">
        <v>411</v>
      </c>
      <c r="D133" s="21">
        <v>2210</v>
      </c>
      <c r="E133" s="7"/>
      <c r="F133" s="7">
        <v>980</v>
      </c>
      <c r="G133" s="7">
        <f t="shared" si="3"/>
        <v>980</v>
      </c>
      <c r="H133" s="7" t="s">
        <v>380</v>
      </c>
      <c r="I133" s="7"/>
      <c r="J133" s="7"/>
      <c r="K133" s="7"/>
      <c r="L133" s="8"/>
      <c r="M133" s="8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>
        <f t="shared" si="2"/>
        <v>980</v>
      </c>
      <c r="AH133" s="7"/>
      <c r="AI133" s="7"/>
      <c r="AJ133" s="58" t="s">
        <v>380</v>
      </c>
    </row>
    <row r="134" spans="2:36" ht="54.6" customHeight="1" x14ac:dyDescent="0.2">
      <c r="B134" s="13" t="s">
        <v>412</v>
      </c>
      <c r="C134" s="15" t="s">
        <v>413</v>
      </c>
      <c r="D134" s="21">
        <v>2210</v>
      </c>
      <c r="E134" s="7"/>
      <c r="F134" s="7">
        <v>40</v>
      </c>
      <c r="G134" s="7">
        <f t="shared" si="3"/>
        <v>40</v>
      </c>
      <c r="H134" s="7" t="s">
        <v>380</v>
      </c>
      <c r="I134" s="7"/>
      <c r="J134" s="7"/>
      <c r="K134" s="7"/>
      <c r="L134" s="8"/>
      <c r="M134" s="8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>
        <f t="shared" si="2"/>
        <v>40</v>
      </c>
      <c r="AH134" s="7"/>
      <c r="AI134" s="7"/>
      <c r="AJ134" s="58" t="s">
        <v>380</v>
      </c>
    </row>
    <row r="135" spans="2:36" ht="54.6" customHeight="1" x14ac:dyDescent="0.2">
      <c r="B135" s="13" t="s">
        <v>414</v>
      </c>
      <c r="C135" s="15" t="s">
        <v>415</v>
      </c>
      <c r="D135" s="21">
        <v>2210</v>
      </c>
      <c r="E135" s="7">
        <v>437.5</v>
      </c>
      <c r="F135" s="7"/>
      <c r="G135" s="7">
        <f t="shared" si="3"/>
        <v>437.5</v>
      </c>
      <c r="H135" s="7" t="s">
        <v>380</v>
      </c>
      <c r="I135" s="7"/>
      <c r="J135" s="7"/>
      <c r="K135" s="7"/>
      <c r="L135" s="8"/>
      <c r="M135" s="8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>
        <f t="shared" si="2"/>
        <v>437.5</v>
      </c>
      <c r="AH135" s="7"/>
      <c r="AI135" s="7"/>
      <c r="AJ135" s="58" t="s">
        <v>380</v>
      </c>
    </row>
    <row r="136" spans="2:36" ht="54.6" customHeight="1" x14ac:dyDescent="0.2">
      <c r="B136" s="13" t="s">
        <v>332</v>
      </c>
      <c r="C136" s="15" t="s">
        <v>333</v>
      </c>
      <c r="D136" s="21">
        <v>2210</v>
      </c>
      <c r="E136" s="7">
        <v>118.5</v>
      </c>
      <c r="F136" s="7"/>
      <c r="G136" s="7">
        <f t="shared" si="3"/>
        <v>118.5</v>
      </c>
      <c r="H136" s="7" t="s">
        <v>380</v>
      </c>
      <c r="I136" s="7"/>
      <c r="J136" s="7"/>
      <c r="K136" s="7"/>
      <c r="L136" s="8"/>
      <c r="M136" s="8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>
        <f t="shared" si="2"/>
        <v>118.5</v>
      </c>
      <c r="AH136" s="7"/>
      <c r="AI136" s="7"/>
      <c r="AJ136" s="58" t="s">
        <v>380</v>
      </c>
    </row>
    <row r="137" spans="2:36" ht="54.6" customHeight="1" x14ac:dyDescent="0.2">
      <c r="B137" s="13" t="s">
        <v>416</v>
      </c>
      <c r="C137" s="15" t="s">
        <v>335</v>
      </c>
      <c r="D137" s="21">
        <v>2210</v>
      </c>
      <c r="E137" s="7">
        <v>3231.2</v>
      </c>
      <c r="F137" s="7"/>
      <c r="G137" s="7">
        <f t="shared" si="3"/>
        <v>3231.2</v>
      </c>
      <c r="H137" s="7" t="s">
        <v>380</v>
      </c>
      <c r="I137" s="7"/>
      <c r="J137" s="7"/>
      <c r="K137" s="7"/>
      <c r="L137" s="8"/>
      <c r="M137" s="8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>
        <f t="shared" si="2"/>
        <v>3231.2</v>
      </c>
      <c r="AH137" s="7"/>
      <c r="AI137" s="7"/>
      <c r="AJ137" s="58" t="s">
        <v>380</v>
      </c>
    </row>
    <row r="138" spans="2:36" ht="54.6" customHeight="1" x14ac:dyDescent="0.2">
      <c r="B138" s="13" t="s">
        <v>417</v>
      </c>
      <c r="C138" s="15" t="s">
        <v>418</v>
      </c>
      <c r="D138" s="21">
        <v>2210</v>
      </c>
      <c r="E138" s="7"/>
      <c r="F138" s="7">
        <v>55</v>
      </c>
      <c r="G138" s="7">
        <f t="shared" si="3"/>
        <v>55</v>
      </c>
      <c r="H138" s="7" t="s">
        <v>380</v>
      </c>
      <c r="I138" s="7"/>
      <c r="J138" s="7"/>
      <c r="K138" s="7"/>
      <c r="L138" s="8"/>
      <c r="M138" s="8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>
        <f t="shared" si="2"/>
        <v>55</v>
      </c>
      <c r="AH138" s="7"/>
      <c r="AI138" s="7"/>
      <c r="AJ138" s="58" t="s">
        <v>380</v>
      </c>
    </row>
    <row r="139" spans="2:36" ht="54.6" customHeight="1" x14ac:dyDescent="0.2">
      <c r="B139" s="13" t="s">
        <v>419</v>
      </c>
      <c r="C139" s="15" t="s">
        <v>62</v>
      </c>
      <c r="D139" s="21">
        <v>2210</v>
      </c>
      <c r="E139" s="7"/>
      <c r="F139" s="7">
        <v>2198</v>
      </c>
      <c r="G139" s="7">
        <f t="shared" si="3"/>
        <v>2198</v>
      </c>
      <c r="H139" s="7" t="s">
        <v>380</v>
      </c>
      <c r="I139" s="7"/>
      <c r="J139" s="7"/>
      <c r="K139" s="7"/>
      <c r="L139" s="8"/>
      <c r="M139" s="8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>
        <f t="shared" ref="AG139:AG151" si="4">G139+I139+J139+K139+L139+M139+N139+O139+P139+Q139+R139+S139+T139+U139+V139+W139+X139+Y139+Z139+AA139+AB139+AC139+AD139+AE139+AF139</f>
        <v>2198</v>
      </c>
      <c r="AH139" s="7"/>
      <c r="AI139" s="7"/>
      <c r="AJ139" s="58" t="s">
        <v>380</v>
      </c>
    </row>
    <row r="140" spans="2:36" ht="54.6" customHeight="1" x14ac:dyDescent="0.2">
      <c r="B140" s="13" t="s">
        <v>420</v>
      </c>
      <c r="C140" s="15" t="s">
        <v>341</v>
      </c>
      <c r="D140" s="21">
        <v>2210</v>
      </c>
      <c r="E140" s="7">
        <v>250</v>
      </c>
      <c r="F140" s="7">
        <v>1030</v>
      </c>
      <c r="G140" s="7">
        <f t="shared" si="3"/>
        <v>1280</v>
      </c>
      <c r="H140" s="7" t="s">
        <v>380</v>
      </c>
      <c r="I140" s="7"/>
      <c r="J140" s="7"/>
      <c r="K140" s="7"/>
      <c r="L140" s="8"/>
      <c r="M140" s="8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>
        <f t="shared" si="4"/>
        <v>1280</v>
      </c>
      <c r="AH140" s="7"/>
      <c r="AI140" s="7"/>
      <c r="AJ140" s="58" t="s">
        <v>380</v>
      </c>
    </row>
    <row r="141" spans="2:36" ht="54.6" customHeight="1" x14ac:dyDescent="0.2">
      <c r="B141" s="13" t="s">
        <v>421</v>
      </c>
      <c r="C141" s="15" t="s">
        <v>422</v>
      </c>
      <c r="D141" s="21">
        <v>2210</v>
      </c>
      <c r="E141" s="7"/>
      <c r="F141" s="7">
        <v>106</v>
      </c>
      <c r="G141" s="7">
        <f t="shared" si="3"/>
        <v>106</v>
      </c>
      <c r="H141" s="7" t="s">
        <v>380</v>
      </c>
      <c r="I141" s="7"/>
      <c r="J141" s="7"/>
      <c r="K141" s="7"/>
      <c r="L141" s="8"/>
      <c r="M141" s="8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>
        <f t="shared" si="4"/>
        <v>106</v>
      </c>
      <c r="AH141" s="7"/>
      <c r="AI141" s="7"/>
      <c r="AJ141" s="58" t="s">
        <v>380</v>
      </c>
    </row>
    <row r="142" spans="2:36" ht="54.6" customHeight="1" x14ac:dyDescent="0.2">
      <c r="B142" s="13" t="s">
        <v>423</v>
      </c>
      <c r="C142" s="15" t="s">
        <v>424</v>
      </c>
      <c r="D142" s="21">
        <v>2210</v>
      </c>
      <c r="E142" s="7"/>
      <c r="F142" s="7">
        <v>564</v>
      </c>
      <c r="G142" s="7">
        <f t="shared" si="3"/>
        <v>564</v>
      </c>
      <c r="H142" s="7" t="s">
        <v>380</v>
      </c>
      <c r="I142" s="7"/>
      <c r="J142" s="7"/>
      <c r="K142" s="7"/>
      <c r="L142" s="8"/>
      <c r="M142" s="8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>
        <f t="shared" si="4"/>
        <v>564</v>
      </c>
      <c r="AH142" s="7"/>
      <c r="AI142" s="7"/>
      <c r="AJ142" s="58" t="s">
        <v>380</v>
      </c>
    </row>
    <row r="143" spans="2:36" ht="54.6" customHeight="1" x14ac:dyDescent="0.2">
      <c r="B143" s="13" t="s">
        <v>425</v>
      </c>
      <c r="C143" s="15" t="s">
        <v>426</v>
      </c>
      <c r="D143" s="21">
        <v>2210</v>
      </c>
      <c r="E143" s="7"/>
      <c r="F143" s="7">
        <v>132</v>
      </c>
      <c r="G143" s="7">
        <f t="shared" si="3"/>
        <v>132</v>
      </c>
      <c r="H143" s="7" t="s">
        <v>380</v>
      </c>
      <c r="I143" s="7"/>
      <c r="J143" s="7"/>
      <c r="K143" s="7"/>
      <c r="L143" s="8"/>
      <c r="M143" s="8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>
        <f t="shared" si="4"/>
        <v>132</v>
      </c>
      <c r="AH143" s="7"/>
      <c r="AI143" s="7"/>
      <c r="AJ143" s="58" t="s">
        <v>380</v>
      </c>
    </row>
    <row r="144" spans="2:36" ht="54.6" customHeight="1" x14ac:dyDescent="0.2">
      <c r="B144" s="13" t="s">
        <v>427</v>
      </c>
      <c r="C144" s="15" t="s">
        <v>428</v>
      </c>
      <c r="D144" s="21">
        <v>2210</v>
      </c>
      <c r="E144" s="7"/>
      <c r="F144" s="7">
        <v>160</v>
      </c>
      <c r="G144" s="7">
        <f t="shared" si="3"/>
        <v>160</v>
      </c>
      <c r="H144" s="7" t="s">
        <v>380</v>
      </c>
      <c r="I144" s="7"/>
      <c r="J144" s="7"/>
      <c r="K144" s="7"/>
      <c r="L144" s="8"/>
      <c r="M144" s="8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>
        <f t="shared" si="4"/>
        <v>160</v>
      </c>
      <c r="AH144" s="7"/>
      <c r="AI144" s="7"/>
      <c r="AJ144" s="58" t="s">
        <v>380</v>
      </c>
    </row>
    <row r="145" spans="2:36" ht="54.6" customHeight="1" x14ac:dyDescent="0.2">
      <c r="B145" s="13" t="s">
        <v>429</v>
      </c>
      <c r="C145" s="15" t="s">
        <v>430</v>
      </c>
      <c r="D145" s="21">
        <v>2210</v>
      </c>
      <c r="E145" s="7"/>
      <c r="F145" s="7">
        <v>1052</v>
      </c>
      <c r="G145" s="7">
        <f t="shared" si="3"/>
        <v>1052</v>
      </c>
      <c r="H145" s="7" t="s">
        <v>380</v>
      </c>
      <c r="I145" s="7"/>
      <c r="J145" s="7"/>
      <c r="K145" s="7"/>
      <c r="L145" s="8"/>
      <c r="M145" s="8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>
        <f t="shared" si="4"/>
        <v>1052</v>
      </c>
      <c r="AH145" s="7"/>
      <c r="AI145" s="7"/>
      <c r="AJ145" s="58" t="s">
        <v>380</v>
      </c>
    </row>
    <row r="146" spans="2:36" ht="54.6" customHeight="1" x14ac:dyDescent="0.2">
      <c r="B146" s="13" t="s">
        <v>431</v>
      </c>
      <c r="C146" s="15" t="s">
        <v>361</v>
      </c>
      <c r="D146" s="21">
        <v>2210</v>
      </c>
      <c r="E146" s="7"/>
      <c r="F146" s="7">
        <v>9980</v>
      </c>
      <c r="G146" s="7">
        <f t="shared" si="3"/>
        <v>9980</v>
      </c>
      <c r="H146" s="7" t="s">
        <v>380</v>
      </c>
      <c r="I146" s="7"/>
      <c r="J146" s="7"/>
      <c r="K146" s="7"/>
      <c r="L146" s="8"/>
      <c r="M146" s="8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>
        <f t="shared" si="4"/>
        <v>9980</v>
      </c>
      <c r="AH146" s="7"/>
      <c r="AI146" s="7"/>
      <c r="AJ146" s="58" t="s">
        <v>380</v>
      </c>
    </row>
    <row r="147" spans="2:36" ht="54.6" customHeight="1" x14ac:dyDescent="0.2">
      <c r="B147" s="13" t="s">
        <v>366</v>
      </c>
      <c r="C147" s="15" t="s">
        <v>367</v>
      </c>
      <c r="D147" s="21">
        <v>2210</v>
      </c>
      <c r="E147" s="7"/>
      <c r="F147" s="7">
        <v>1035</v>
      </c>
      <c r="G147" s="7">
        <f t="shared" si="3"/>
        <v>1035</v>
      </c>
      <c r="H147" s="7" t="s">
        <v>380</v>
      </c>
      <c r="I147" s="7"/>
      <c r="J147" s="7"/>
      <c r="K147" s="7"/>
      <c r="L147" s="8"/>
      <c r="M147" s="8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>
        <f t="shared" si="4"/>
        <v>1035</v>
      </c>
      <c r="AH147" s="7"/>
      <c r="AI147" s="7"/>
      <c r="AJ147" s="58" t="s">
        <v>380</v>
      </c>
    </row>
    <row r="148" spans="2:36" ht="54.6" customHeight="1" x14ac:dyDescent="0.2">
      <c r="B148" s="13" t="s">
        <v>432</v>
      </c>
      <c r="C148" s="15" t="s">
        <v>433</v>
      </c>
      <c r="D148" s="21">
        <v>2210</v>
      </c>
      <c r="E148" s="7"/>
      <c r="F148" s="7">
        <v>66</v>
      </c>
      <c r="G148" s="7">
        <f t="shared" si="3"/>
        <v>66</v>
      </c>
      <c r="H148" s="7" t="s">
        <v>380</v>
      </c>
      <c r="I148" s="7"/>
      <c r="J148" s="7"/>
      <c r="K148" s="7"/>
      <c r="L148" s="8"/>
      <c r="M148" s="8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>
        <f t="shared" si="4"/>
        <v>66</v>
      </c>
      <c r="AH148" s="7"/>
      <c r="AI148" s="7"/>
      <c r="AJ148" s="58" t="s">
        <v>380</v>
      </c>
    </row>
    <row r="149" spans="2:36" ht="54.6" customHeight="1" x14ac:dyDescent="0.2">
      <c r="B149" s="13" t="s">
        <v>368</v>
      </c>
      <c r="C149" s="15" t="s">
        <v>369</v>
      </c>
      <c r="D149" s="21">
        <v>2210</v>
      </c>
      <c r="E149" s="7"/>
      <c r="F149" s="7">
        <v>278.04000000000002</v>
      </c>
      <c r="G149" s="7">
        <f t="shared" si="3"/>
        <v>278.04000000000002</v>
      </c>
      <c r="H149" s="7" t="s">
        <v>380</v>
      </c>
      <c r="I149" s="7"/>
      <c r="J149" s="7"/>
      <c r="K149" s="7"/>
      <c r="L149" s="8"/>
      <c r="M149" s="8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>
        <f t="shared" si="4"/>
        <v>278.04000000000002</v>
      </c>
      <c r="AH149" s="7"/>
      <c r="AI149" s="7"/>
      <c r="AJ149" s="58" t="s">
        <v>380</v>
      </c>
    </row>
    <row r="150" spans="2:36" ht="54.6" customHeight="1" x14ac:dyDescent="0.2">
      <c r="B150" s="13" t="s">
        <v>371</v>
      </c>
      <c r="C150" s="15" t="s">
        <v>434</v>
      </c>
      <c r="D150" s="21">
        <v>2210</v>
      </c>
      <c r="E150" s="7"/>
      <c r="F150" s="7">
        <v>402.42</v>
      </c>
      <c r="G150" s="7">
        <f t="shared" si="3"/>
        <v>402.42</v>
      </c>
      <c r="H150" s="7" t="s">
        <v>380</v>
      </c>
      <c r="I150" s="7"/>
      <c r="J150" s="7"/>
      <c r="K150" s="7"/>
      <c r="L150" s="8"/>
      <c r="M150" s="8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>
        <f t="shared" si="4"/>
        <v>402.42</v>
      </c>
      <c r="AH150" s="7"/>
      <c r="AI150" s="7"/>
      <c r="AJ150" s="58" t="s">
        <v>380</v>
      </c>
    </row>
    <row r="151" spans="2:36" ht="54.6" customHeight="1" x14ac:dyDescent="0.2">
      <c r="B151" s="13" t="s">
        <v>375</v>
      </c>
      <c r="C151" s="15" t="s">
        <v>376</v>
      </c>
      <c r="D151" s="21">
        <v>2210</v>
      </c>
      <c r="E151" s="7">
        <v>54</v>
      </c>
      <c r="F151" s="7">
        <v>682.4</v>
      </c>
      <c r="G151" s="7">
        <f t="shared" si="3"/>
        <v>736.4</v>
      </c>
      <c r="H151" s="7" t="s">
        <v>380</v>
      </c>
      <c r="I151" s="7"/>
      <c r="J151" s="7"/>
      <c r="K151" s="7"/>
      <c r="L151" s="8"/>
      <c r="M151" s="8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>
        <f t="shared" si="4"/>
        <v>736.4</v>
      </c>
      <c r="AH151" s="7"/>
      <c r="AI151" s="7"/>
      <c r="AJ151" s="58" t="s">
        <v>380</v>
      </c>
    </row>
    <row r="152" spans="2:36" ht="15.75" x14ac:dyDescent="0.2">
      <c r="B152" s="65" t="s">
        <v>435</v>
      </c>
      <c r="C152" s="7"/>
      <c r="D152" s="21"/>
      <c r="E152" s="60">
        <f t="shared" ref="E152:AF152" si="5">SUM(E8:E151)</f>
        <v>16244.2</v>
      </c>
      <c r="F152" s="60">
        <f t="shared" si="5"/>
        <v>164113.97000000003</v>
      </c>
      <c r="G152" s="60">
        <f t="shared" si="5"/>
        <v>187837.17000000004</v>
      </c>
      <c r="H152" s="60">
        <f t="shared" si="5"/>
        <v>0</v>
      </c>
      <c r="I152" s="60">
        <f t="shared" si="5"/>
        <v>5331.88</v>
      </c>
      <c r="J152" s="60">
        <f t="shared" si="5"/>
        <v>1000</v>
      </c>
      <c r="K152" s="60">
        <f t="shared" si="5"/>
        <v>9380</v>
      </c>
      <c r="L152" s="60">
        <f t="shared" si="5"/>
        <v>7500</v>
      </c>
      <c r="M152" s="60">
        <f t="shared" si="5"/>
        <v>4784.6000000000004</v>
      </c>
      <c r="N152" s="60">
        <f t="shared" si="5"/>
        <v>4051</v>
      </c>
      <c r="O152" s="60">
        <f t="shared" si="5"/>
        <v>1580.4</v>
      </c>
      <c r="P152" s="60">
        <f t="shared" si="5"/>
        <v>2500</v>
      </c>
      <c r="Q152" s="60">
        <f t="shared" si="5"/>
        <v>99</v>
      </c>
      <c r="R152" s="60">
        <f t="shared" si="5"/>
        <v>3400</v>
      </c>
      <c r="S152" s="60">
        <f t="shared" si="5"/>
        <v>31917.21</v>
      </c>
      <c r="T152" s="60">
        <f t="shared" si="5"/>
        <v>23608.97</v>
      </c>
      <c r="U152" s="60">
        <f t="shared" si="5"/>
        <v>4579.7299999999996</v>
      </c>
      <c r="V152" s="60">
        <f t="shared" si="5"/>
        <v>0</v>
      </c>
      <c r="W152" s="60">
        <f t="shared" si="5"/>
        <v>5877</v>
      </c>
      <c r="X152" s="60">
        <f t="shared" si="5"/>
        <v>0</v>
      </c>
      <c r="Y152" s="60">
        <f t="shared" si="5"/>
        <v>5944</v>
      </c>
      <c r="Z152" s="60">
        <f t="shared" si="5"/>
        <v>12442</v>
      </c>
      <c r="AA152" s="60">
        <f t="shared" si="5"/>
        <v>2972.64</v>
      </c>
      <c r="AB152" s="60">
        <f t="shared" si="5"/>
        <v>2646</v>
      </c>
      <c r="AC152" s="60">
        <f>SUM(AC8:AC151)</f>
        <v>60665</v>
      </c>
      <c r="AD152" s="60">
        <f t="shared" si="5"/>
        <v>0</v>
      </c>
      <c r="AE152" s="60">
        <f t="shared" si="5"/>
        <v>0</v>
      </c>
      <c r="AF152" s="60">
        <f t="shared" si="5"/>
        <v>0</v>
      </c>
      <c r="AG152" s="60">
        <f>SUM(AG8:AG151)</f>
        <v>393513.19</v>
      </c>
      <c r="AH152" s="7"/>
      <c r="AI152" s="7"/>
      <c r="AJ152" s="66"/>
    </row>
    <row r="153" spans="2:36" ht="54.6" customHeight="1" x14ac:dyDescent="0.2">
      <c r="B153" s="13" t="s">
        <v>43</v>
      </c>
      <c r="C153" s="15" t="s">
        <v>436</v>
      </c>
      <c r="D153" s="21">
        <v>2220</v>
      </c>
      <c r="E153" s="7">
        <v>3000</v>
      </c>
      <c r="F153" s="7"/>
      <c r="G153" s="7">
        <f>E153+F153</f>
        <v>3000</v>
      </c>
      <c r="H153" s="8"/>
      <c r="I153" s="60"/>
      <c r="J153" s="7"/>
      <c r="K153" s="7"/>
      <c r="L153" s="7"/>
      <c r="M153" s="6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>
        <v>-1812</v>
      </c>
      <c r="AB153" s="7"/>
      <c r="AC153" s="7"/>
      <c r="AD153" s="7"/>
      <c r="AE153" s="7"/>
      <c r="AF153" s="7"/>
      <c r="AG153" s="7">
        <f t="shared" ref="AG153:AG215" si="6">G153+I153+J153+K153+L153+M153+N153+O153+P153+Q153+R153+S153+T153+U153+V153+W153+X153+Y153+Z153+AA153+AB153+AC153+AD153+AE153+AF153</f>
        <v>1188</v>
      </c>
      <c r="AH153" s="7"/>
      <c r="AI153" s="7"/>
      <c r="AJ153" s="68"/>
    </row>
    <row r="154" spans="2:36" ht="54.6" customHeight="1" x14ac:dyDescent="0.2">
      <c r="B154" s="13" t="s">
        <v>65</v>
      </c>
      <c r="C154" s="15" t="s">
        <v>66</v>
      </c>
      <c r="D154" s="21">
        <v>2220</v>
      </c>
      <c r="E154" s="59"/>
      <c r="F154" s="7"/>
      <c r="G154" s="7">
        <f t="shared" ref="G154:G191" si="7">E154+F154</f>
        <v>0</v>
      </c>
      <c r="H154" s="7"/>
      <c r="I154" s="60"/>
      <c r="J154" s="7"/>
      <c r="K154" s="7"/>
      <c r="L154" s="7"/>
      <c r="M154" s="67"/>
      <c r="N154" s="7">
        <v>1542</v>
      </c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>
        <f t="shared" si="6"/>
        <v>1542</v>
      </c>
      <c r="AH154" s="7"/>
      <c r="AI154" s="7"/>
      <c r="AJ154" s="68"/>
    </row>
    <row r="155" spans="2:36" ht="54.6" customHeight="1" x14ac:dyDescent="0.2">
      <c r="B155" s="13" t="s">
        <v>67</v>
      </c>
      <c r="C155" s="15" t="s">
        <v>68</v>
      </c>
      <c r="D155" s="21">
        <v>2220</v>
      </c>
      <c r="E155" s="7">
        <v>300</v>
      </c>
      <c r="F155" s="7"/>
      <c r="G155" s="7">
        <f t="shared" si="7"/>
        <v>300</v>
      </c>
      <c r="H155" s="3"/>
      <c r="I155" s="7"/>
      <c r="J155" s="7"/>
      <c r="K155" s="7"/>
      <c r="L155" s="7"/>
      <c r="M155" s="9"/>
      <c r="N155" s="7"/>
      <c r="O155" s="7">
        <v>600</v>
      </c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>
        <f>305.18-619.13+307.86</f>
        <v>-6.089999999999975</v>
      </c>
      <c r="AB155" s="7"/>
      <c r="AC155" s="7"/>
      <c r="AD155" s="7"/>
      <c r="AE155" s="7"/>
      <c r="AF155" s="7"/>
      <c r="AG155" s="7">
        <f t="shared" si="6"/>
        <v>893.91000000000008</v>
      </c>
      <c r="AH155" s="7"/>
      <c r="AI155" s="7"/>
      <c r="AJ155" s="68"/>
    </row>
    <row r="156" spans="2:36" ht="54.6" customHeight="1" x14ac:dyDescent="0.2">
      <c r="B156" s="13" t="s">
        <v>142</v>
      </c>
      <c r="C156" s="15" t="s">
        <v>143</v>
      </c>
      <c r="D156" s="21">
        <v>2220</v>
      </c>
      <c r="E156" s="7">
        <v>17000</v>
      </c>
      <c r="F156" s="7"/>
      <c r="G156" s="7">
        <f t="shared" si="7"/>
        <v>17000</v>
      </c>
      <c r="H156" s="3"/>
      <c r="I156" s="7"/>
      <c r="J156" s="7"/>
      <c r="K156" s="7"/>
      <c r="L156" s="7">
        <v>1372</v>
      </c>
      <c r="M156" s="9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>
        <v>21457.8</v>
      </c>
      <c r="Z156" s="7"/>
      <c r="AA156" s="7"/>
      <c r="AB156" s="7"/>
      <c r="AC156" s="7"/>
      <c r="AD156" s="7"/>
      <c r="AE156" s="7"/>
      <c r="AF156" s="7"/>
      <c r="AG156" s="7">
        <f t="shared" si="6"/>
        <v>39829.800000000003</v>
      </c>
      <c r="AH156" s="7"/>
      <c r="AI156" s="7"/>
      <c r="AJ156" s="68"/>
    </row>
    <row r="157" spans="2:36" ht="54.6" customHeight="1" x14ac:dyDescent="0.2">
      <c r="B157" s="13" t="s">
        <v>437</v>
      </c>
      <c r="C157" s="15" t="s">
        <v>438</v>
      </c>
      <c r="D157" s="21">
        <v>2220</v>
      </c>
      <c r="E157" s="7">
        <v>30000</v>
      </c>
      <c r="F157" s="7"/>
      <c r="G157" s="7">
        <f t="shared" si="7"/>
        <v>30000</v>
      </c>
      <c r="H157" s="3"/>
      <c r="I157" s="7"/>
      <c r="J157" s="7"/>
      <c r="K157" s="7"/>
      <c r="L157" s="7"/>
      <c r="M157" s="9"/>
      <c r="N157" s="7"/>
      <c r="O157" s="7"/>
      <c r="P157" s="7"/>
      <c r="Q157" s="7"/>
      <c r="R157" s="7"/>
      <c r="S157" s="7"/>
      <c r="T157" s="7"/>
      <c r="U157" s="7">
        <v>-30000</v>
      </c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>
        <f t="shared" si="6"/>
        <v>0</v>
      </c>
      <c r="AH157" s="7"/>
      <c r="AI157" s="7"/>
      <c r="AJ157" s="68"/>
    </row>
    <row r="158" spans="2:36" ht="54.6" customHeight="1" x14ac:dyDescent="0.2">
      <c r="B158" s="13" t="s">
        <v>439</v>
      </c>
      <c r="C158" s="15" t="s">
        <v>50</v>
      </c>
      <c r="D158" s="21">
        <v>2220</v>
      </c>
      <c r="E158" s="7">
        <v>2000</v>
      </c>
      <c r="F158" s="7"/>
      <c r="G158" s="7">
        <f t="shared" si="7"/>
        <v>2000</v>
      </c>
      <c r="H158" s="3"/>
      <c r="I158" s="7"/>
      <c r="J158" s="7"/>
      <c r="K158" s="7"/>
      <c r="L158" s="7"/>
      <c r="M158" s="9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>
        <f>-709.05+933.02</f>
        <v>223.97000000000003</v>
      </c>
      <c r="AB158" s="7"/>
      <c r="AC158" s="7"/>
      <c r="AD158" s="7"/>
      <c r="AE158" s="7"/>
      <c r="AF158" s="7"/>
      <c r="AG158" s="7">
        <f t="shared" si="6"/>
        <v>2223.9700000000003</v>
      </c>
      <c r="AH158" s="7"/>
      <c r="AI158" s="7"/>
      <c r="AJ158" s="68"/>
    </row>
    <row r="159" spans="2:36" ht="54.6" customHeight="1" x14ac:dyDescent="0.2">
      <c r="B159" s="13" t="s">
        <v>440</v>
      </c>
      <c r="C159" s="15" t="s">
        <v>441</v>
      </c>
      <c r="D159" s="21">
        <v>2220</v>
      </c>
      <c r="E159" s="7">
        <v>500</v>
      </c>
      <c r="F159" s="7"/>
      <c r="G159" s="7">
        <f t="shared" si="7"/>
        <v>500</v>
      </c>
      <c r="H159" s="3"/>
      <c r="I159" s="7"/>
      <c r="J159" s="7"/>
      <c r="K159" s="7"/>
      <c r="L159" s="7">
        <v>835</v>
      </c>
      <c r="M159" s="9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>
        <f t="shared" si="6"/>
        <v>1335</v>
      </c>
      <c r="AH159" s="7"/>
      <c r="AI159" s="7"/>
      <c r="AJ159" s="68"/>
    </row>
    <row r="160" spans="2:36" ht="54.6" customHeight="1" x14ac:dyDescent="0.2">
      <c r="B160" s="13" t="s">
        <v>70</v>
      </c>
      <c r="C160" s="15" t="s">
        <v>71</v>
      </c>
      <c r="D160" s="21">
        <v>2220</v>
      </c>
      <c r="E160" s="7">
        <v>99000</v>
      </c>
      <c r="F160" s="7"/>
      <c r="G160" s="7">
        <f t="shared" si="7"/>
        <v>99000</v>
      </c>
      <c r="H160" s="3"/>
      <c r="I160" s="7"/>
      <c r="J160" s="7"/>
      <c r="K160" s="7"/>
      <c r="L160" s="7">
        <v>-17945.7</v>
      </c>
      <c r="M160" s="9"/>
      <c r="N160" s="7"/>
      <c r="O160" s="7"/>
      <c r="P160" s="7"/>
      <c r="Q160" s="7"/>
      <c r="R160" s="7"/>
      <c r="S160" s="20" t="s">
        <v>442</v>
      </c>
      <c r="T160" s="7"/>
      <c r="U160" s="7"/>
      <c r="V160" s="7"/>
      <c r="W160" s="7"/>
      <c r="X160" s="7"/>
      <c r="Y160" s="7"/>
      <c r="Z160" s="7"/>
      <c r="AA160" s="7">
        <f>8346.02+205.44</f>
        <v>8551.4600000000009</v>
      </c>
      <c r="AB160" s="7"/>
      <c r="AC160" s="7"/>
      <c r="AD160" s="7"/>
      <c r="AE160" s="7"/>
      <c r="AF160" s="7"/>
      <c r="AG160" s="7">
        <f t="shared" si="6"/>
        <v>84700.37000000001</v>
      </c>
      <c r="AH160" s="7"/>
      <c r="AI160" s="7"/>
      <c r="AJ160" s="68"/>
    </row>
    <row r="161" spans="2:36" ht="54.6" customHeight="1" x14ac:dyDescent="0.2">
      <c r="B161" s="13" t="s">
        <v>72</v>
      </c>
      <c r="C161" s="15" t="s">
        <v>73</v>
      </c>
      <c r="D161" s="21">
        <v>2220</v>
      </c>
      <c r="E161" s="7">
        <v>10700</v>
      </c>
      <c r="F161" s="7"/>
      <c r="G161" s="7">
        <f t="shared" si="7"/>
        <v>10700</v>
      </c>
      <c r="H161" s="3"/>
      <c r="I161" s="7"/>
      <c r="J161" s="7"/>
      <c r="K161" s="7"/>
      <c r="L161" s="7"/>
      <c r="M161" s="9"/>
      <c r="N161" s="7"/>
      <c r="O161" s="7"/>
      <c r="P161" s="7"/>
      <c r="Q161" s="7"/>
      <c r="R161" s="7"/>
      <c r="S161" s="7"/>
      <c r="T161" s="7"/>
      <c r="U161" s="7">
        <v>-6000</v>
      </c>
      <c r="V161" s="7"/>
      <c r="W161" s="7"/>
      <c r="X161" s="7"/>
      <c r="Y161" s="7"/>
      <c r="Z161" s="7"/>
      <c r="AA161" s="7">
        <f>4251.1+1492.65</f>
        <v>5743.75</v>
      </c>
      <c r="AB161" s="7"/>
      <c r="AC161" s="7"/>
      <c r="AD161" s="7"/>
      <c r="AE161" s="7"/>
      <c r="AF161" s="7"/>
      <c r="AG161" s="7">
        <f t="shared" si="6"/>
        <v>10443.75</v>
      </c>
      <c r="AH161" s="7"/>
      <c r="AI161" s="7"/>
      <c r="AJ161" s="68"/>
    </row>
    <row r="162" spans="2:36" ht="54.6" customHeight="1" x14ac:dyDescent="0.2">
      <c r="B162" s="13" t="s">
        <v>52</v>
      </c>
      <c r="C162" s="15" t="s">
        <v>53</v>
      </c>
      <c r="D162" s="21">
        <v>2220</v>
      </c>
      <c r="E162" s="7">
        <v>100</v>
      </c>
      <c r="F162" s="7"/>
      <c r="G162" s="7">
        <f t="shared" si="7"/>
        <v>100</v>
      </c>
      <c r="H162" s="3"/>
      <c r="I162" s="7"/>
      <c r="J162" s="7"/>
      <c r="K162" s="7"/>
      <c r="L162" s="7"/>
      <c r="M162" s="9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>
        <v>-100</v>
      </c>
      <c r="AB162" s="7"/>
      <c r="AC162" s="7"/>
      <c r="AD162" s="7"/>
      <c r="AE162" s="7"/>
      <c r="AF162" s="7"/>
      <c r="AG162" s="7">
        <f t="shared" si="6"/>
        <v>0</v>
      </c>
      <c r="AH162" s="7"/>
      <c r="AI162" s="7"/>
      <c r="AJ162" s="68"/>
    </row>
    <row r="163" spans="2:36" ht="54.6" customHeight="1" x14ac:dyDescent="0.2">
      <c r="B163" s="13" t="s">
        <v>74</v>
      </c>
      <c r="C163" s="15" t="s">
        <v>75</v>
      </c>
      <c r="D163" s="21">
        <v>2220</v>
      </c>
      <c r="E163" s="7">
        <v>56000</v>
      </c>
      <c r="F163" s="7"/>
      <c r="G163" s="7">
        <f t="shared" si="7"/>
        <v>56000</v>
      </c>
      <c r="H163" s="3"/>
      <c r="I163" s="7"/>
      <c r="J163" s="7"/>
      <c r="K163" s="7"/>
      <c r="L163" s="7"/>
      <c r="M163" s="9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>
        <v>16867.810000000001</v>
      </c>
      <c r="AB163" s="7"/>
      <c r="AC163" s="7"/>
      <c r="AD163" s="7"/>
      <c r="AE163" s="7"/>
      <c r="AF163" s="7"/>
      <c r="AG163" s="7">
        <f t="shared" si="6"/>
        <v>72867.81</v>
      </c>
      <c r="AH163" s="7"/>
      <c r="AI163" s="7"/>
      <c r="AJ163" s="68"/>
    </row>
    <row r="164" spans="2:36" ht="54.6" customHeight="1" x14ac:dyDescent="0.2">
      <c r="B164" s="13" t="s">
        <v>443</v>
      </c>
      <c r="C164" s="15" t="s">
        <v>252</v>
      </c>
      <c r="D164" s="21">
        <v>2220</v>
      </c>
      <c r="E164" s="7">
        <v>8000</v>
      </c>
      <c r="F164" s="7"/>
      <c r="G164" s="7">
        <f t="shared" si="7"/>
        <v>8000</v>
      </c>
      <c r="H164" s="3"/>
      <c r="I164" s="7"/>
      <c r="J164" s="7"/>
      <c r="K164" s="7"/>
      <c r="L164" s="7"/>
      <c r="M164" s="9"/>
      <c r="N164" s="7"/>
      <c r="O164" s="7"/>
      <c r="P164" s="7"/>
      <c r="Q164" s="7"/>
      <c r="R164" s="7"/>
      <c r="S164" s="7"/>
      <c r="T164" s="7"/>
      <c r="U164" s="7">
        <v>1869.29</v>
      </c>
      <c r="V164" s="7"/>
      <c r="W164" s="7"/>
      <c r="X164" s="7"/>
      <c r="Y164" s="7"/>
      <c r="Z164" s="7"/>
      <c r="AA164" s="7">
        <v>16922.05</v>
      </c>
      <c r="AB164" s="7"/>
      <c r="AC164" s="7"/>
      <c r="AD164" s="7"/>
      <c r="AE164" s="7"/>
      <c r="AF164" s="7"/>
      <c r="AG164" s="7">
        <f t="shared" si="6"/>
        <v>26791.34</v>
      </c>
      <c r="AH164" s="7"/>
      <c r="AI164" s="7"/>
      <c r="AJ164" s="68"/>
    </row>
    <row r="165" spans="2:36" ht="54.6" customHeight="1" x14ac:dyDescent="0.2">
      <c r="B165" s="13" t="s">
        <v>444</v>
      </c>
      <c r="C165" s="15" t="s">
        <v>445</v>
      </c>
      <c r="D165" s="21">
        <v>2220</v>
      </c>
      <c r="E165" s="7">
        <v>24000</v>
      </c>
      <c r="F165" s="7"/>
      <c r="G165" s="7">
        <f t="shared" si="7"/>
        <v>24000</v>
      </c>
      <c r="H165" s="3"/>
      <c r="I165" s="7"/>
      <c r="J165" s="7"/>
      <c r="K165" s="7"/>
      <c r="L165" s="7"/>
      <c r="M165" s="9"/>
      <c r="N165" s="7"/>
      <c r="O165" s="7"/>
      <c r="P165" s="7"/>
      <c r="Q165" s="7"/>
      <c r="R165" s="7"/>
      <c r="S165" s="7"/>
      <c r="T165" s="7"/>
      <c r="U165" s="7">
        <v>-5254.85</v>
      </c>
      <c r="V165" s="7"/>
      <c r="W165" s="7"/>
      <c r="X165" s="7"/>
      <c r="Y165" s="7"/>
      <c r="Z165" s="7"/>
      <c r="AA165" s="7">
        <f>-4985.89+995.1</f>
        <v>-3990.7900000000004</v>
      </c>
      <c r="AB165" s="7"/>
      <c r="AC165" s="7"/>
      <c r="AD165" s="7"/>
      <c r="AE165" s="7"/>
      <c r="AF165" s="7"/>
      <c r="AG165" s="7">
        <f t="shared" si="6"/>
        <v>14754.36</v>
      </c>
      <c r="AH165" s="7"/>
      <c r="AI165" s="7"/>
      <c r="AJ165" s="68"/>
    </row>
    <row r="166" spans="2:36" ht="54.6" customHeight="1" x14ac:dyDescent="0.2">
      <c r="B166" s="13" t="s">
        <v>77</v>
      </c>
      <c r="C166" s="15" t="s">
        <v>78</v>
      </c>
      <c r="D166" s="21">
        <v>2220</v>
      </c>
      <c r="E166" s="7">
        <v>40000</v>
      </c>
      <c r="F166" s="7"/>
      <c r="G166" s="7">
        <f t="shared" si="7"/>
        <v>40000</v>
      </c>
      <c r="H166" s="3"/>
      <c r="I166" s="7"/>
      <c r="J166" s="7"/>
      <c r="K166" s="7"/>
      <c r="L166" s="7"/>
      <c r="M166" s="9"/>
      <c r="N166" s="7"/>
      <c r="O166" s="7"/>
      <c r="P166" s="7"/>
      <c r="Q166" s="7"/>
      <c r="R166" s="7"/>
      <c r="S166" s="7"/>
      <c r="T166" s="7"/>
      <c r="U166" s="7">
        <v>72.069999999999993</v>
      </c>
      <c r="V166" s="7"/>
      <c r="W166" s="7"/>
      <c r="X166" s="7"/>
      <c r="Y166" s="7"/>
      <c r="Z166" s="7"/>
      <c r="AA166" s="7">
        <v>2557.64</v>
      </c>
      <c r="AB166" s="7"/>
      <c r="AC166" s="7"/>
      <c r="AD166" s="7"/>
      <c r="AE166" s="7"/>
      <c r="AF166" s="7"/>
      <c r="AG166" s="7">
        <f t="shared" si="6"/>
        <v>42629.71</v>
      </c>
      <c r="AH166" s="7"/>
      <c r="AI166" s="7"/>
      <c r="AJ166" s="68"/>
    </row>
    <row r="167" spans="2:36" ht="54.6" customHeight="1" x14ac:dyDescent="0.2">
      <c r="B167" s="13" t="s">
        <v>446</v>
      </c>
      <c r="C167" s="15" t="s">
        <v>447</v>
      </c>
      <c r="D167" s="21">
        <v>2220</v>
      </c>
      <c r="E167" s="7">
        <v>200</v>
      </c>
      <c r="F167" s="7"/>
      <c r="G167" s="7">
        <f t="shared" si="7"/>
        <v>200</v>
      </c>
      <c r="H167" s="3"/>
      <c r="I167" s="7"/>
      <c r="J167" s="7"/>
      <c r="K167" s="7"/>
      <c r="L167" s="7"/>
      <c r="M167" s="9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>
        <v>-200</v>
      </c>
      <c r="AB167" s="7"/>
      <c r="AC167" s="7"/>
      <c r="AD167" s="7"/>
      <c r="AE167" s="7"/>
      <c r="AF167" s="7"/>
      <c r="AG167" s="7">
        <f t="shared" si="6"/>
        <v>0</v>
      </c>
      <c r="AH167" s="7"/>
      <c r="AI167" s="7"/>
      <c r="AJ167" s="68"/>
    </row>
    <row r="168" spans="2:36" ht="54.6" customHeight="1" x14ac:dyDescent="0.2">
      <c r="B168" s="13" t="s">
        <v>387</v>
      </c>
      <c r="C168" s="15" t="s">
        <v>388</v>
      </c>
      <c r="D168" s="21">
        <v>2220</v>
      </c>
      <c r="E168" s="7">
        <v>700</v>
      </c>
      <c r="F168" s="7"/>
      <c r="G168" s="7">
        <f t="shared" si="7"/>
        <v>700</v>
      </c>
      <c r="H168" s="3"/>
      <c r="I168" s="7"/>
      <c r="J168" s="7"/>
      <c r="K168" s="7"/>
      <c r="L168" s="7"/>
      <c r="M168" s="9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>
        <f>-253.81+254.66</f>
        <v>0.84999999999999432</v>
      </c>
      <c r="AB168" s="7"/>
      <c r="AC168" s="7"/>
      <c r="AD168" s="7"/>
      <c r="AE168" s="7"/>
      <c r="AF168" s="7"/>
      <c r="AG168" s="7">
        <f t="shared" si="6"/>
        <v>700.85</v>
      </c>
      <c r="AH168" s="7"/>
      <c r="AI168" s="7"/>
      <c r="AJ168" s="68"/>
    </row>
    <row r="169" spans="2:36" ht="54.6" customHeight="1" x14ac:dyDescent="0.2">
      <c r="B169" s="13" t="s">
        <v>448</v>
      </c>
      <c r="C169" s="15" t="s">
        <v>449</v>
      </c>
      <c r="D169" s="21">
        <v>2220</v>
      </c>
      <c r="E169" s="7">
        <v>3000</v>
      </c>
      <c r="F169" s="7"/>
      <c r="G169" s="7">
        <f t="shared" si="7"/>
        <v>3000</v>
      </c>
      <c r="H169" s="3"/>
      <c r="I169" s="7"/>
      <c r="J169" s="7"/>
      <c r="K169" s="7"/>
      <c r="L169" s="7">
        <v>5050</v>
      </c>
      <c r="M169" s="9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>
        <f t="shared" si="6"/>
        <v>8050</v>
      </c>
      <c r="AH169" s="7"/>
      <c r="AI169" s="7"/>
      <c r="AJ169" s="68"/>
    </row>
    <row r="170" spans="2:36" ht="54.6" customHeight="1" x14ac:dyDescent="0.2">
      <c r="B170" s="13" t="s">
        <v>450</v>
      </c>
      <c r="C170" s="15" t="s">
        <v>451</v>
      </c>
      <c r="D170" s="21">
        <v>2220</v>
      </c>
      <c r="E170" s="7">
        <v>2000</v>
      </c>
      <c r="F170" s="7"/>
      <c r="G170" s="7">
        <f t="shared" si="7"/>
        <v>2000</v>
      </c>
      <c r="H170" s="3"/>
      <c r="I170" s="7"/>
      <c r="J170" s="7"/>
      <c r="K170" s="7"/>
      <c r="L170" s="7">
        <v>20688.7</v>
      </c>
      <c r="M170" s="9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>
        <v>6831</v>
      </c>
      <c r="Z170" s="7"/>
      <c r="AA170" s="7"/>
      <c r="AB170" s="7"/>
      <c r="AC170" s="7"/>
      <c r="AD170" s="7"/>
      <c r="AE170" s="7"/>
      <c r="AF170" s="7"/>
      <c r="AG170" s="7">
        <f t="shared" si="6"/>
        <v>29519.7</v>
      </c>
      <c r="AH170" s="7"/>
      <c r="AI170" s="7"/>
      <c r="AJ170" s="68"/>
    </row>
    <row r="171" spans="2:36" ht="54.6" customHeight="1" x14ac:dyDescent="0.2">
      <c r="B171" s="13" t="s">
        <v>79</v>
      </c>
      <c r="C171" s="15" t="s">
        <v>80</v>
      </c>
      <c r="D171" s="21">
        <v>2220</v>
      </c>
      <c r="E171" s="7">
        <v>2000</v>
      </c>
      <c r="F171" s="7"/>
      <c r="G171" s="7">
        <f t="shared" si="7"/>
        <v>2000</v>
      </c>
      <c r="H171" s="3"/>
      <c r="I171" s="7"/>
      <c r="J171" s="7"/>
      <c r="K171" s="7"/>
      <c r="L171" s="7"/>
      <c r="M171" s="9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>
        <v>6926</v>
      </c>
      <c r="AB171" s="7"/>
      <c r="AC171" s="7"/>
      <c r="AD171" s="7"/>
      <c r="AE171" s="7"/>
      <c r="AF171" s="7"/>
      <c r="AG171" s="7">
        <f t="shared" si="6"/>
        <v>8926</v>
      </c>
      <c r="AH171" s="7"/>
      <c r="AI171" s="7"/>
      <c r="AJ171" s="68"/>
    </row>
    <row r="172" spans="2:36" ht="54.6" customHeight="1" x14ac:dyDescent="0.2">
      <c r="B172" s="13" t="s">
        <v>81</v>
      </c>
      <c r="C172" s="15" t="s">
        <v>82</v>
      </c>
      <c r="D172" s="21">
        <v>2220</v>
      </c>
      <c r="E172" s="7">
        <v>60000</v>
      </c>
      <c r="F172" s="7"/>
      <c r="G172" s="7">
        <f t="shared" si="7"/>
        <v>60000</v>
      </c>
      <c r="H172" s="3"/>
      <c r="I172" s="7"/>
      <c r="J172" s="7"/>
      <c r="K172" s="7"/>
      <c r="L172" s="7"/>
      <c r="M172" s="7">
        <v>16000</v>
      </c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>
        <v>-28288.799999999999</v>
      </c>
      <c r="Z172" s="7"/>
      <c r="AA172" s="7">
        <f>-20542.04+3299.99</f>
        <v>-17242.050000000003</v>
      </c>
      <c r="AB172" s="7"/>
      <c r="AC172" s="7"/>
      <c r="AD172" s="7"/>
      <c r="AE172" s="7"/>
      <c r="AF172" s="7"/>
      <c r="AG172" s="7">
        <f t="shared" si="6"/>
        <v>30469.149999999994</v>
      </c>
      <c r="AH172" s="7"/>
      <c r="AI172" s="7"/>
      <c r="AJ172" s="68"/>
    </row>
    <row r="173" spans="2:36" ht="54.6" customHeight="1" x14ac:dyDescent="0.2">
      <c r="B173" s="13" t="s">
        <v>452</v>
      </c>
      <c r="C173" s="15" t="s">
        <v>453</v>
      </c>
      <c r="D173" s="21">
        <v>2220</v>
      </c>
      <c r="E173" s="7">
        <v>2000</v>
      </c>
      <c r="F173" s="7"/>
      <c r="G173" s="7">
        <f t="shared" si="7"/>
        <v>2000</v>
      </c>
      <c r="H173" s="3"/>
      <c r="I173" s="7"/>
      <c r="J173" s="7"/>
      <c r="K173" s="7"/>
      <c r="L173" s="7"/>
      <c r="M173" s="9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>
        <v>-1126.9100000000001</v>
      </c>
      <c r="AB173" s="7"/>
      <c r="AC173" s="7"/>
      <c r="AD173" s="7"/>
      <c r="AE173" s="7"/>
      <c r="AF173" s="7"/>
      <c r="AG173" s="7">
        <f t="shared" si="6"/>
        <v>873.08999999999992</v>
      </c>
      <c r="AH173" s="7"/>
      <c r="AI173" s="7"/>
      <c r="AJ173" s="68"/>
    </row>
    <row r="174" spans="2:36" ht="61.5" customHeight="1" x14ac:dyDescent="0.2">
      <c r="B174" s="13" t="s">
        <v>83</v>
      </c>
      <c r="C174" s="15" t="s">
        <v>84</v>
      </c>
      <c r="D174" s="21">
        <v>2220</v>
      </c>
      <c r="E174" s="7">
        <v>65000</v>
      </c>
      <c r="F174" s="7"/>
      <c r="G174" s="7">
        <f t="shared" si="7"/>
        <v>65000</v>
      </c>
      <c r="H174" s="3"/>
      <c r="I174" s="7"/>
      <c r="J174" s="7">
        <v>-2846</v>
      </c>
      <c r="K174" s="7"/>
      <c r="L174" s="7"/>
      <c r="M174" s="9"/>
      <c r="N174" s="7"/>
      <c r="O174" s="7"/>
      <c r="P174" s="7"/>
      <c r="Q174" s="7"/>
      <c r="R174" s="7"/>
      <c r="S174" s="20" t="s">
        <v>454</v>
      </c>
      <c r="T174" s="7"/>
      <c r="U174" s="7">
        <v>14516.65</v>
      </c>
      <c r="V174" s="7"/>
      <c r="W174" s="7"/>
      <c r="X174" s="7"/>
      <c r="Y174" s="7"/>
      <c r="Z174" s="7"/>
      <c r="AA174" s="7">
        <f>-0.33-10.23-642.02</f>
        <v>-652.57999999999993</v>
      </c>
      <c r="AB174" s="7"/>
      <c r="AC174" s="7"/>
      <c r="AD174" s="7"/>
      <c r="AE174" s="7"/>
      <c r="AF174" s="7"/>
      <c r="AG174" s="7">
        <f t="shared" si="6"/>
        <v>77320.05</v>
      </c>
      <c r="AH174" s="7"/>
      <c r="AI174" s="7"/>
      <c r="AJ174" s="68"/>
    </row>
    <row r="175" spans="2:36" ht="60" customHeight="1" x14ac:dyDescent="0.2">
      <c r="B175" s="13" t="s">
        <v>85</v>
      </c>
      <c r="C175" s="15" t="s">
        <v>86</v>
      </c>
      <c r="D175" s="21">
        <v>2220</v>
      </c>
      <c r="E175" s="7">
        <v>10200</v>
      </c>
      <c r="F175" s="7"/>
      <c r="G175" s="7">
        <f t="shared" si="7"/>
        <v>10200</v>
      </c>
      <c r="H175" s="3"/>
      <c r="I175" s="7"/>
      <c r="J175" s="7">
        <v>470</v>
      </c>
      <c r="K175" s="7"/>
      <c r="L175" s="7"/>
      <c r="M175" s="9"/>
      <c r="N175" s="7"/>
      <c r="O175" s="7"/>
      <c r="P175" s="7"/>
      <c r="Q175" s="7"/>
      <c r="R175" s="7"/>
      <c r="S175" s="20" t="s">
        <v>455</v>
      </c>
      <c r="T175" s="7"/>
      <c r="U175" s="7">
        <v>8665.98</v>
      </c>
      <c r="V175" s="7"/>
      <c r="W175" s="7"/>
      <c r="X175" s="7"/>
      <c r="Y175" s="7"/>
      <c r="Z175" s="7"/>
      <c r="AA175" s="7">
        <f>244.76-0.45</f>
        <v>244.31</v>
      </c>
      <c r="AB175" s="7"/>
      <c r="AC175" s="7"/>
      <c r="AD175" s="7"/>
      <c r="AE175" s="7"/>
      <c r="AF175" s="7"/>
      <c r="AG175" s="7">
        <f t="shared" si="6"/>
        <v>22188.7</v>
      </c>
      <c r="AH175" s="7"/>
      <c r="AI175" s="7"/>
      <c r="AJ175" s="68"/>
    </row>
    <row r="176" spans="2:36" ht="54.6" customHeight="1" x14ac:dyDescent="0.2">
      <c r="B176" s="13" t="s">
        <v>87</v>
      </c>
      <c r="C176" s="15" t="s">
        <v>88</v>
      </c>
      <c r="D176" s="21">
        <v>2220</v>
      </c>
      <c r="E176" s="7">
        <v>1500</v>
      </c>
      <c r="F176" s="7"/>
      <c r="G176" s="7">
        <f t="shared" si="7"/>
        <v>1500</v>
      </c>
      <c r="H176" s="3"/>
      <c r="I176" s="7"/>
      <c r="J176" s="7">
        <v>2376</v>
      </c>
      <c r="K176" s="7"/>
      <c r="L176" s="7"/>
      <c r="M176" s="9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>
        <f>-680.38-6.94</f>
        <v>-687.32</v>
      </c>
      <c r="AB176" s="7"/>
      <c r="AC176" s="7"/>
      <c r="AD176" s="7"/>
      <c r="AE176" s="7"/>
      <c r="AF176" s="7"/>
      <c r="AG176" s="7">
        <f t="shared" si="6"/>
        <v>3188.68</v>
      </c>
      <c r="AH176" s="7"/>
      <c r="AI176" s="7"/>
      <c r="AJ176" s="68"/>
    </row>
    <row r="177" spans="2:39" ht="54.6" customHeight="1" x14ac:dyDescent="0.2">
      <c r="B177" s="13" t="s">
        <v>89</v>
      </c>
      <c r="C177" s="15" t="s">
        <v>90</v>
      </c>
      <c r="D177" s="21">
        <v>2220</v>
      </c>
      <c r="E177" s="7">
        <v>99800</v>
      </c>
      <c r="F177" s="59"/>
      <c r="G177" s="7">
        <f t="shared" si="7"/>
        <v>99800</v>
      </c>
      <c r="H177" s="3"/>
      <c r="I177" s="7"/>
      <c r="J177" s="7"/>
      <c r="K177" s="7"/>
      <c r="L177" s="7"/>
      <c r="M177" s="7">
        <f>-16000+6446.7</f>
        <v>-9553.2999999999993</v>
      </c>
      <c r="N177" s="7">
        <v>-1542</v>
      </c>
      <c r="O177" s="7">
        <v>-1474</v>
      </c>
      <c r="P177" s="7"/>
      <c r="Q177" s="7"/>
      <c r="R177" s="7"/>
      <c r="S177" s="20" t="s">
        <v>456</v>
      </c>
      <c r="T177" s="63">
        <v>1139.44</v>
      </c>
      <c r="U177" s="63">
        <v>3708.14</v>
      </c>
      <c r="V177" s="20"/>
      <c r="W177" s="20"/>
      <c r="X177" s="7"/>
      <c r="Y177" s="7"/>
      <c r="Z177" s="7"/>
      <c r="AA177" s="7">
        <f>-7460.92-3.93+1003.75+6456.7</f>
        <v>-4.4000000000005457</v>
      </c>
      <c r="AB177" s="7"/>
      <c r="AC177" s="7"/>
      <c r="AD177" s="7"/>
      <c r="AE177" s="7"/>
      <c r="AF177" s="7"/>
      <c r="AG177" s="7">
        <f t="shared" si="6"/>
        <v>92083.88</v>
      </c>
      <c r="AH177" s="7"/>
      <c r="AI177" s="7"/>
      <c r="AJ177" s="68" t="s">
        <v>457</v>
      </c>
      <c r="AM177" s="69"/>
    </row>
    <row r="178" spans="2:39" ht="54.6" customHeight="1" x14ac:dyDescent="0.2">
      <c r="B178" s="13" t="s">
        <v>91</v>
      </c>
      <c r="C178" s="15" t="s">
        <v>92</v>
      </c>
      <c r="D178" s="21">
        <v>2220</v>
      </c>
      <c r="E178" s="7">
        <v>36000</v>
      </c>
      <c r="F178" s="7"/>
      <c r="G178" s="7">
        <f t="shared" si="7"/>
        <v>36000</v>
      </c>
      <c r="H178" s="3"/>
      <c r="I178" s="60">
        <v>28293.200000000001</v>
      </c>
      <c r="J178" s="7"/>
      <c r="K178" s="7"/>
      <c r="L178" s="7"/>
      <c r="M178" s="9"/>
      <c r="N178" s="7"/>
      <c r="O178" s="20" t="s">
        <v>458</v>
      </c>
      <c r="P178" s="7"/>
      <c r="Q178" s="7"/>
      <c r="R178" s="20" t="s">
        <v>459</v>
      </c>
      <c r="S178" s="7"/>
      <c r="T178" s="7"/>
      <c r="U178" s="7">
        <v>4522.57</v>
      </c>
      <c r="V178" s="7"/>
      <c r="W178" s="7"/>
      <c r="X178" s="20" t="s">
        <v>460</v>
      </c>
      <c r="Y178" s="7"/>
      <c r="Z178" s="7"/>
      <c r="AA178" s="7">
        <f>-53971.77+769.44-1007.44+53971.22</f>
        <v>-238.54999999999563</v>
      </c>
      <c r="AB178" s="7"/>
      <c r="AC178" s="7"/>
      <c r="AD178" s="7"/>
      <c r="AE178" s="7"/>
      <c r="AF178" s="7"/>
      <c r="AG178" s="7">
        <f>G178+I178+J178+K178+L178+M178+N178+O178+P178+Q178+R178+S178+T178+U178+V178+W178+X178+Y178+Z178+AA178+AB178+AC178+AD178+AE178+AF178+13931.2</f>
        <v>108186.44000000002</v>
      </c>
      <c r="AH178" s="7"/>
      <c r="AI178" s="7"/>
      <c r="AJ178" s="68" t="s">
        <v>461</v>
      </c>
      <c r="AM178" s="69"/>
    </row>
    <row r="179" spans="2:39" s="70" customFormat="1" ht="54.6" customHeight="1" x14ac:dyDescent="0.25">
      <c r="B179" s="13" t="s">
        <v>93</v>
      </c>
      <c r="C179" s="15" t="s">
        <v>94</v>
      </c>
      <c r="D179" s="21">
        <v>2220</v>
      </c>
      <c r="E179" s="7">
        <v>92000</v>
      </c>
      <c r="F179" s="7"/>
      <c r="G179" s="7">
        <f t="shared" si="7"/>
        <v>92000</v>
      </c>
      <c r="H179" s="3"/>
      <c r="I179" s="7"/>
      <c r="J179" s="7"/>
      <c r="K179" s="7"/>
      <c r="L179" s="7"/>
      <c r="M179" s="9"/>
      <c r="N179" s="7"/>
      <c r="O179" s="7"/>
      <c r="P179" s="7"/>
      <c r="Q179" s="7"/>
      <c r="R179" s="7"/>
      <c r="S179" s="7"/>
      <c r="T179" s="63">
        <f>714.23-714.23</f>
        <v>0</v>
      </c>
      <c r="U179" s="7">
        <v>7900.15</v>
      </c>
      <c r="V179" s="7"/>
      <c r="W179" s="7"/>
      <c r="X179" s="7"/>
      <c r="Y179" s="7"/>
      <c r="Z179" s="7"/>
      <c r="AA179" s="7">
        <f>-716.4-1.44+714.23</f>
        <v>-3.6100000000000136</v>
      </c>
      <c r="AB179" s="7"/>
      <c r="AC179" s="7"/>
      <c r="AD179" s="62"/>
      <c r="AE179" s="7"/>
      <c r="AF179" s="7"/>
      <c r="AG179" s="7">
        <f t="shared" si="6"/>
        <v>99896.54</v>
      </c>
      <c r="AH179" s="7"/>
      <c r="AI179" s="7"/>
      <c r="AJ179" s="68"/>
      <c r="AM179" s="69"/>
    </row>
    <row r="180" spans="2:39" ht="54.6" customHeight="1" x14ac:dyDescent="0.2">
      <c r="B180" s="13" t="s">
        <v>95</v>
      </c>
      <c r="C180" s="15" t="s">
        <v>96</v>
      </c>
      <c r="D180" s="21">
        <v>2220</v>
      </c>
      <c r="E180" s="7">
        <v>45000</v>
      </c>
      <c r="F180" s="7"/>
      <c r="G180" s="7">
        <f t="shared" si="7"/>
        <v>45000</v>
      </c>
      <c r="H180" s="3"/>
      <c r="I180" s="7"/>
      <c r="J180" s="7"/>
      <c r="K180" s="7"/>
      <c r="L180" s="7"/>
      <c r="M180" s="9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>
        <v>-10911.91</v>
      </c>
      <c r="AB180" s="7"/>
      <c r="AC180" s="7"/>
      <c r="AD180" s="7"/>
      <c r="AE180" s="7"/>
      <c r="AF180" s="7"/>
      <c r="AG180" s="7">
        <f t="shared" si="6"/>
        <v>34088.089999999997</v>
      </c>
      <c r="AH180" s="7"/>
      <c r="AI180" s="7"/>
      <c r="AJ180" s="68"/>
    </row>
    <row r="181" spans="2:39" ht="54.6" customHeight="1" x14ac:dyDescent="0.2">
      <c r="B181" s="19" t="s">
        <v>462</v>
      </c>
      <c r="C181" s="15" t="s">
        <v>463</v>
      </c>
      <c r="D181" s="21">
        <v>2220</v>
      </c>
      <c r="E181" s="7"/>
      <c r="F181" s="7"/>
      <c r="G181" s="7"/>
      <c r="H181" s="3"/>
      <c r="I181" s="7"/>
      <c r="J181" s="7"/>
      <c r="K181" s="7"/>
      <c r="L181" s="7">
        <v>2775</v>
      </c>
      <c r="M181" s="9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>
        <f t="shared" si="6"/>
        <v>2775</v>
      </c>
      <c r="AH181" s="7"/>
      <c r="AI181" s="7"/>
      <c r="AJ181" s="68"/>
    </row>
    <row r="182" spans="2:39" ht="54.6" customHeight="1" x14ac:dyDescent="0.2">
      <c r="B182" s="13" t="s">
        <v>277</v>
      </c>
      <c r="C182" s="15" t="s">
        <v>278</v>
      </c>
      <c r="D182" s="21">
        <v>2220</v>
      </c>
      <c r="E182" s="7">
        <v>30000</v>
      </c>
      <c r="F182" s="7"/>
      <c r="G182" s="7">
        <f t="shared" si="7"/>
        <v>30000</v>
      </c>
      <c r="H182" s="3"/>
      <c r="I182" s="7"/>
      <c r="J182" s="7"/>
      <c r="K182" s="7"/>
      <c r="L182" s="7">
        <v>-220</v>
      </c>
      <c r="M182" s="9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>
        <f>205.44-216.61</f>
        <v>-11.170000000000016</v>
      </c>
      <c r="AB182" s="7"/>
      <c r="AC182" s="7"/>
      <c r="AD182" s="7"/>
      <c r="AE182" s="7"/>
      <c r="AF182" s="7"/>
      <c r="AG182" s="7">
        <f t="shared" si="6"/>
        <v>29768.83</v>
      </c>
      <c r="AH182" s="7"/>
      <c r="AI182" s="7"/>
      <c r="AJ182" s="68"/>
    </row>
    <row r="183" spans="2:39" ht="54.6" customHeight="1" x14ac:dyDescent="0.2">
      <c r="B183" s="19" t="s">
        <v>464</v>
      </c>
      <c r="C183" s="15" t="s">
        <v>465</v>
      </c>
      <c r="D183" s="21">
        <v>2220</v>
      </c>
      <c r="E183" s="7"/>
      <c r="F183" s="7"/>
      <c r="G183" s="7"/>
      <c r="H183" s="3"/>
      <c r="I183" s="7"/>
      <c r="J183" s="7"/>
      <c r="K183" s="7"/>
      <c r="L183" s="7"/>
      <c r="M183" s="9"/>
      <c r="N183" s="7"/>
      <c r="O183" s="7">
        <v>874</v>
      </c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>
        <f t="shared" si="6"/>
        <v>874</v>
      </c>
      <c r="AH183" s="7"/>
      <c r="AI183" s="7"/>
      <c r="AJ183" s="68"/>
    </row>
    <row r="184" spans="2:39" ht="54.6" customHeight="1" x14ac:dyDescent="0.2">
      <c r="B184" s="13" t="s">
        <v>288</v>
      </c>
      <c r="C184" s="15" t="s">
        <v>56</v>
      </c>
      <c r="D184" s="21">
        <v>2220</v>
      </c>
      <c r="E184" s="7">
        <v>5000</v>
      </c>
      <c r="F184" s="7"/>
      <c r="G184" s="7">
        <f t="shared" si="7"/>
        <v>5000</v>
      </c>
      <c r="H184" s="3"/>
      <c r="I184" s="7"/>
      <c r="J184" s="7"/>
      <c r="K184" s="7"/>
      <c r="L184" s="8"/>
      <c r="M184" s="9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>
        <v>-4689.7</v>
      </c>
      <c r="AB184" s="7"/>
      <c r="AC184" s="7"/>
      <c r="AD184" s="7"/>
      <c r="AE184" s="7"/>
      <c r="AF184" s="7"/>
      <c r="AG184" s="7">
        <f t="shared" si="6"/>
        <v>310.30000000000018</v>
      </c>
      <c r="AH184" s="7"/>
      <c r="AI184" s="7"/>
      <c r="AJ184" s="68"/>
    </row>
    <row r="185" spans="2:39" ht="54.6" customHeight="1" x14ac:dyDescent="0.2">
      <c r="B185" s="13" t="s">
        <v>97</v>
      </c>
      <c r="C185" s="15" t="s">
        <v>98</v>
      </c>
      <c r="D185" s="21">
        <v>2220</v>
      </c>
      <c r="E185" s="7">
        <v>2000</v>
      </c>
      <c r="F185" s="7"/>
      <c r="G185" s="7">
        <f t="shared" si="7"/>
        <v>2000</v>
      </c>
      <c r="H185" s="3"/>
      <c r="I185" s="7"/>
      <c r="J185" s="7"/>
      <c r="K185" s="7"/>
      <c r="L185" s="7"/>
      <c r="M185" s="9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>
        <v>-2000</v>
      </c>
      <c r="AB185" s="7"/>
      <c r="AC185" s="7"/>
      <c r="AD185" s="7"/>
      <c r="AE185" s="7"/>
      <c r="AF185" s="7"/>
      <c r="AG185" s="7">
        <f t="shared" si="6"/>
        <v>0</v>
      </c>
      <c r="AH185" s="7"/>
      <c r="AI185" s="7"/>
      <c r="AJ185" s="68"/>
    </row>
    <row r="186" spans="2:39" ht="54.6" customHeight="1" x14ac:dyDescent="0.2">
      <c r="B186" s="13" t="s">
        <v>97</v>
      </c>
      <c r="C186" s="15" t="s">
        <v>98</v>
      </c>
      <c r="D186" s="21">
        <v>2220</v>
      </c>
      <c r="E186" s="7">
        <v>1000</v>
      </c>
      <c r="F186" s="7"/>
      <c r="G186" s="7">
        <f t="shared" si="7"/>
        <v>1000</v>
      </c>
      <c r="H186" s="3"/>
      <c r="I186" s="7"/>
      <c r="J186" s="7"/>
      <c r="K186" s="7"/>
      <c r="L186" s="7"/>
      <c r="M186" s="9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>
        <v>-1000</v>
      </c>
      <c r="AB186" s="7"/>
      <c r="AC186" s="7"/>
      <c r="AD186" s="7"/>
      <c r="AE186" s="7"/>
      <c r="AF186" s="7"/>
      <c r="AG186" s="7">
        <f t="shared" si="6"/>
        <v>0</v>
      </c>
      <c r="AH186" s="7"/>
      <c r="AI186" s="7"/>
      <c r="AJ186" s="68"/>
    </row>
    <row r="187" spans="2:39" ht="54.6" customHeight="1" x14ac:dyDescent="0.2">
      <c r="B187" s="13" t="s">
        <v>466</v>
      </c>
      <c r="C187" s="15" t="s">
        <v>467</v>
      </c>
      <c r="D187" s="21">
        <v>2220</v>
      </c>
      <c r="E187" s="7">
        <v>1000</v>
      </c>
      <c r="F187" s="59"/>
      <c r="G187" s="7">
        <f t="shared" si="7"/>
        <v>1000</v>
      </c>
      <c r="H187" s="33"/>
      <c r="I187" s="8"/>
      <c r="J187" s="8"/>
      <c r="K187" s="8"/>
      <c r="L187" s="8">
        <v>483.02</v>
      </c>
      <c r="M187" s="9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>
        <v>-514.44000000000005</v>
      </c>
      <c r="AB187" s="7"/>
      <c r="AC187" s="7"/>
      <c r="AD187" s="7"/>
      <c r="AE187" s="7"/>
      <c r="AF187" s="7"/>
      <c r="AG187" s="7">
        <f t="shared" si="6"/>
        <v>968.57999999999993</v>
      </c>
      <c r="AH187" s="7"/>
      <c r="AI187" s="7"/>
      <c r="AJ187" s="68"/>
    </row>
    <row r="188" spans="2:39" ht="54.6" customHeight="1" x14ac:dyDescent="0.2">
      <c r="B188" s="13" t="s">
        <v>334</v>
      </c>
      <c r="C188" s="15" t="s">
        <v>335</v>
      </c>
      <c r="D188" s="21">
        <v>2220</v>
      </c>
      <c r="E188" s="7"/>
      <c r="F188" s="59"/>
      <c r="G188" s="7"/>
      <c r="H188" s="33"/>
      <c r="I188" s="8"/>
      <c r="J188" s="8"/>
      <c r="K188" s="8"/>
      <c r="L188" s="8"/>
      <c r="M188" s="9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>
        <v>555</v>
      </c>
      <c r="AB188" s="7"/>
      <c r="AC188" s="7"/>
      <c r="AD188" s="7"/>
      <c r="AE188" s="7"/>
      <c r="AF188" s="7"/>
      <c r="AG188" s="7">
        <f t="shared" si="6"/>
        <v>555</v>
      </c>
      <c r="AH188" s="7"/>
      <c r="AI188" s="7"/>
      <c r="AJ188" s="68"/>
    </row>
    <row r="189" spans="2:39" ht="54.6" customHeight="1" x14ac:dyDescent="0.2">
      <c r="B189" s="13" t="s">
        <v>366</v>
      </c>
      <c r="C189" s="15" t="s">
        <v>367</v>
      </c>
      <c r="D189" s="21">
        <v>2220</v>
      </c>
      <c r="E189" s="7">
        <v>50000</v>
      </c>
      <c r="F189" s="7"/>
      <c r="G189" s="7">
        <f t="shared" si="7"/>
        <v>50000</v>
      </c>
      <c r="H189" s="3"/>
      <c r="I189" s="7"/>
      <c r="J189" s="7"/>
      <c r="K189" s="7"/>
      <c r="L189" s="7">
        <v>-13038.02</v>
      </c>
      <c r="M189" s="9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>
        <v>-1914.75</v>
      </c>
      <c r="AB189" s="7"/>
      <c r="AC189" s="7"/>
      <c r="AD189" s="7"/>
      <c r="AE189" s="7"/>
      <c r="AF189" s="7"/>
      <c r="AG189" s="7">
        <f t="shared" si="6"/>
        <v>35047.229999999996</v>
      </c>
      <c r="AH189" s="7"/>
      <c r="AI189" s="7"/>
      <c r="AJ189" s="68"/>
    </row>
    <row r="190" spans="2:39" ht="54.6" customHeight="1" x14ac:dyDescent="0.2">
      <c r="B190" s="13" t="s">
        <v>468</v>
      </c>
      <c r="C190" s="15" t="s">
        <v>469</v>
      </c>
      <c r="D190" s="21">
        <v>2220</v>
      </c>
      <c r="E190" s="7">
        <v>5000</v>
      </c>
      <c r="F190" s="7"/>
      <c r="G190" s="7">
        <f t="shared" si="7"/>
        <v>5000</v>
      </c>
      <c r="H190" s="3"/>
      <c r="I190" s="7"/>
      <c r="J190" s="7"/>
      <c r="K190" s="7"/>
      <c r="L190" s="7"/>
      <c r="M190" s="9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>
        <f>-5000+141.24+481.5</f>
        <v>-4377.26</v>
      </c>
      <c r="AB190" s="7"/>
      <c r="AC190" s="7"/>
      <c r="AD190" s="7"/>
      <c r="AE190" s="7"/>
      <c r="AF190" s="7"/>
      <c r="AG190" s="7">
        <f t="shared" si="6"/>
        <v>622.73999999999978</v>
      </c>
      <c r="AH190" s="7"/>
      <c r="AI190" s="7"/>
      <c r="AJ190" s="68"/>
      <c r="AL190" s="2"/>
    </row>
    <row r="191" spans="2:39" ht="54.6" customHeight="1" x14ac:dyDescent="0.2">
      <c r="B191" s="13" t="s">
        <v>99</v>
      </c>
      <c r="C191" s="15" t="s">
        <v>100</v>
      </c>
      <c r="D191" s="21">
        <v>2220</v>
      </c>
      <c r="E191" s="7">
        <v>1000</v>
      </c>
      <c r="F191" s="7">
        <v>3948</v>
      </c>
      <c r="G191" s="7">
        <f t="shared" si="7"/>
        <v>4948</v>
      </c>
      <c r="H191" s="7"/>
      <c r="I191" s="7"/>
      <c r="J191" s="7"/>
      <c r="K191" s="7"/>
      <c r="L191" s="60"/>
      <c r="M191" s="9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>
        <f>-4948+630+135+1125</f>
        <v>-3058</v>
      </c>
      <c r="AB191" s="7"/>
      <c r="AC191" s="7"/>
      <c r="AD191" s="7"/>
      <c r="AE191" s="7"/>
      <c r="AF191" s="7"/>
      <c r="AG191" s="7">
        <f t="shared" si="6"/>
        <v>1890</v>
      </c>
      <c r="AH191" s="7"/>
      <c r="AI191" s="7"/>
      <c r="AJ191" s="68"/>
      <c r="AL191" s="2"/>
    </row>
    <row r="192" spans="2:39" ht="54.6" customHeight="1" x14ac:dyDescent="0.2">
      <c r="B192" s="65" t="s">
        <v>101</v>
      </c>
      <c r="C192" s="7"/>
      <c r="D192" s="21"/>
      <c r="E192" s="60">
        <f>SUM(E153:E191)</f>
        <v>805000</v>
      </c>
      <c r="F192" s="60">
        <f>SUM(F153:F191)</f>
        <v>3948</v>
      </c>
      <c r="G192" s="60">
        <f>SUM(G153:G191)</f>
        <v>808948</v>
      </c>
      <c r="H192" s="60">
        <f t="shared" ref="H192:AA192" si="8">SUM(H153:H191)</f>
        <v>0</v>
      </c>
      <c r="I192" s="60">
        <f t="shared" si="8"/>
        <v>28293.200000000001</v>
      </c>
      <c r="J192" s="60">
        <f t="shared" si="8"/>
        <v>0</v>
      </c>
      <c r="K192" s="60">
        <f t="shared" si="8"/>
        <v>0</v>
      </c>
      <c r="L192" s="60">
        <f t="shared" si="8"/>
        <v>0</v>
      </c>
      <c r="M192" s="60">
        <f t="shared" si="8"/>
        <v>6446.7000000000007</v>
      </c>
      <c r="N192" s="60">
        <f t="shared" si="8"/>
        <v>0</v>
      </c>
      <c r="O192" s="60">
        <f t="shared" si="8"/>
        <v>0</v>
      </c>
      <c r="P192" s="60">
        <f t="shared" si="8"/>
        <v>0</v>
      </c>
      <c r="Q192" s="60">
        <f t="shared" si="8"/>
        <v>0</v>
      </c>
      <c r="R192" s="60">
        <f t="shared" si="8"/>
        <v>0</v>
      </c>
      <c r="S192" s="60">
        <f t="shared" si="8"/>
        <v>0</v>
      </c>
      <c r="T192" s="60">
        <f t="shared" si="8"/>
        <v>1139.44</v>
      </c>
      <c r="U192" s="60">
        <f t="shared" si="8"/>
        <v>0</v>
      </c>
      <c r="V192" s="60">
        <f t="shared" si="8"/>
        <v>0</v>
      </c>
      <c r="W192" s="60">
        <f t="shared" si="8"/>
        <v>0</v>
      </c>
      <c r="X192" s="60">
        <f t="shared" si="8"/>
        <v>0</v>
      </c>
      <c r="Y192" s="60">
        <f t="shared" si="8"/>
        <v>0</v>
      </c>
      <c r="Z192" s="60">
        <f t="shared" si="8"/>
        <v>0</v>
      </c>
      <c r="AA192" s="60">
        <f t="shared" si="8"/>
        <v>4051.3099999999868</v>
      </c>
      <c r="AB192" s="7"/>
      <c r="AC192" s="7"/>
      <c r="AD192" s="7"/>
      <c r="AE192" s="7"/>
      <c r="AF192" s="7"/>
      <c r="AG192" s="60">
        <f>SUM(AG153:AG191)</f>
        <v>887502.87</v>
      </c>
      <c r="AH192" s="60"/>
      <c r="AI192" s="7"/>
      <c r="AJ192" s="71"/>
      <c r="AL192" s="2"/>
    </row>
    <row r="193" spans="2:38" ht="54.6" customHeight="1" x14ac:dyDescent="0.2">
      <c r="B193" s="13" t="s">
        <v>102</v>
      </c>
      <c r="C193" s="15" t="s">
        <v>103</v>
      </c>
      <c r="D193" s="21">
        <v>2230</v>
      </c>
      <c r="E193" s="7">
        <f>2.75*1800+4000*3.9</f>
        <v>20550</v>
      </c>
      <c r="F193" s="7"/>
      <c r="G193" s="7">
        <f>E193+F193</f>
        <v>20550</v>
      </c>
      <c r="H193" s="3"/>
      <c r="I193" s="7"/>
      <c r="J193" s="7"/>
      <c r="K193" s="7"/>
      <c r="L193" s="8"/>
      <c r="M193" s="8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>
        <v>283.63</v>
      </c>
      <c r="Z193" s="7"/>
      <c r="AA193" s="7"/>
      <c r="AB193" s="7"/>
      <c r="AC193" s="7"/>
      <c r="AD193" s="7"/>
      <c r="AE193" s="7"/>
      <c r="AF193" s="7"/>
      <c r="AG193" s="7">
        <f t="shared" si="6"/>
        <v>20833.63</v>
      </c>
      <c r="AH193" s="7"/>
      <c r="AI193" s="7"/>
      <c r="AJ193" s="66"/>
      <c r="AL193" s="72"/>
    </row>
    <row r="194" spans="2:38" ht="54.6" customHeight="1" x14ac:dyDescent="0.2">
      <c r="B194" s="13" t="s">
        <v>104</v>
      </c>
      <c r="C194" s="15" t="s">
        <v>105</v>
      </c>
      <c r="D194" s="21">
        <v>2230</v>
      </c>
      <c r="E194" s="7">
        <f>4.5*1200+4.5*330+7.3*350+3000*4.5+900*4.5+600*8.5+577.91</f>
        <v>32667.91</v>
      </c>
      <c r="F194" s="7"/>
      <c r="G194" s="7">
        <f t="shared" ref="G194:G218" si="9">E194+F194</f>
        <v>32667.91</v>
      </c>
      <c r="H194" s="3"/>
      <c r="I194" s="7"/>
      <c r="J194" s="7"/>
      <c r="K194" s="7"/>
      <c r="L194" s="8"/>
      <c r="M194" s="8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>
        <v>1892.9</v>
      </c>
      <c r="Z194" s="7"/>
      <c r="AA194" s="7">
        <f>-0.81+9.54</f>
        <v>8.7299999999999986</v>
      </c>
      <c r="AB194" s="7">
        <v>-9.5399999999999991</v>
      </c>
      <c r="AC194" s="7"/>
      <c r="AD194" s="7"/>
      <c r="AE194" s="7"/>
      <c r="AF194" s="7"/>
      <c r="AG194" s="7">
        <f t="shared" si="6"/>
        <v>34560</v>
      </c>
      <c r="AH194" s="7"/>
      <c r="AI194" s="7"/>
      <c r="AJ194" s="68"/>
      <c r="AL194" s="72"/>
    </row>
    <row r="195" spans="2:38" ht="54.6" customHeight="1" x14ac:dyDescent="0.2">
      <c r="B195" s="13" t="s">
        <v>106</v>
      </c>
      <c r="C195" s="15" t="s">
        <v>107</v>
      </c>
      <c r="D195" s="21">
        <v>2230</v>
      </c>
      <c r="E195" s="7">
        <v>50000</v>
      </c>
      <c r="F195" s="7"/>
      <c r="G195" s="7">
        <f t="shared" si="9"/>
        <v>50000</v>
      </c>
      <c r="H195" s="7"/>
      <c r="I195" s="7"/>
      <c r="J195" s="7"/>
      <c r="K195" s="9"/>
      <c r="L195" s="8"/>
      <c r="M195" s="8"/>
      <c r="N195" s="7"/>
      <c r="O195" s="7"/>
      <c r="P195" s="7"/>
      <c r="Q195" s="7"/>
      <c r="R195" s="20"/>
      <c r="S195" s="20" t="s">
        <v>470</v>
      </c>
      <c r="T195" s="7"/>
      <c r="U195" s="7">
        <v>1679.8</v>
      </c>
      <c r="V195" s="7"/>
      <c r="W195" s="7"/>
      <c r="X195" s="7"/>
      <c r="Y195" s="7">
        <v>-5721.4</v>
      </c>
      <c r="Z195" s="7">
        <v>-260</v>
      </c>
      <c r="AA195" s="7">
        <f>4360-507.2</f>
        <v>3852.8</v>
      </c>
      <c r="AB195" s="7"/>
      <c r="AC195" s="7"/>
      <c r="AD195" s="7"/>
      <c r="AE195" s="7"/>
      <c r="AF195" s="7"/>
      <c r="AG195" s="7">
        <f t="shared" si="6"/>
        <v>45376.600000000006</v>
      </c>
      <c r="AH195" s="7"/>
      <c r="AI195" s="7"/>
      <c r="AJ195" s="68"/>
      <c r="AL195" s="72"/>
    </row>
    <row r="196" spans="2:38" ht="54.6" customHeight="1" x14ac:dyDescent="0.2">
      <c r="B196" s="13" t="s">
        <v>471</v>
      </c>
      <c r="C196" s="15" t="s">
        <v>472</v>
      </c>
      <c r="D196" s="21">
        <v>2230</v>
      </c>
      <c r="E196" s="7">
        <f>5.1*2177.922+608*5+6380*5.3</f>
        <v>47961.402199999997</v>
      </c>
      <c r="F196" s="7"/>
      <c r="G196" s="7">
        <f t="shared" si="9"/>
        <v>47961.402199999997</v>
      </c>
      <c r="H196" s="3"/>
      <c r="I196" s="7"/>
      <c r="J196" s="7"/>
      <c r="K196" s="7"/>
      <c r="L196" s="8"/>
      <c r="M196" s="8"/>
      <c r="N196" s="7"/>
      <c r="O196" s="7"/>
      <c r="P196" s="7"/>
      <c r="Q196" s="7"/>
      <c r="R196" s="7"/>
      <c r="S196" s="20" t="s">
        <v>473</v>
      </c>
      <c r="T196" s="7"/>
      <c r="U196" s="7"/>
      <c r="V196" s="7"/>
      <c r="W196" s="7"/>
      <c r="X196" s="7"/>
      <c r="Y196" s="7">
        <v>-6156</v>
      </c>
      <c r="Z196" s="7"/>
      <c r="AA196" s="7">
        <v>-4370</v>
      </c>
      <c r="AB196" s="7"/>
      <c r="AC196" s="7"/>
      <c r="AD196" s="7"/>
      <c r="AE196" s="7"/>
      <c r="AF196" s="7"/>
      <c r="AG196" s="7">
        <f t="shared" si="6"/>
        <v>41610.002199999995</v>
      </c>
      <c r="AH196" s="7"/>
      <c r="AI196" s="7"/>
      <c r="AJ196" s="68"/>
      <c r="AL196" s="72"/>
    </row>
    <row r="197" spans="2:38" ht="54.6" customHeight="1" x14ac:dyDescent="0.2">
      <c r="B197" s="13" t="s">
        <v>110</v>
      </c>
      <c r="C197" s="15" t="s">
        <v>111</v>
      </c>
      <c r="D197" s="21">
        <v>2230</v>
      </c>
      <c r="E197" s="7">
        <f>1.15*12000+43200*1.15</f>
        <v>63479.999999999993</v>
      </c>
      <c r="F197" s="7"/>
      <c r="G197" s="7">
        <f t="shared" si="9"/>
        <v>63479.999999999993</v>
      </c>
      <c r="H197" s="3"/>
      <c r="I197" s="7"/>
      <c r="J197" s="7"/>
      <c r="K197" s="7"/>
      <c r="L197" s="8"/>
      <c r="M197" s="8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>
        <v>-18518.52</v>
      </c>
      <c r="Z197" s="7"/>
      <c r="AA197" s="7"/>
      <c r="AB197" s="7">
        <v>-1.28</v>
      </c>
      <c r="AC197" s="7"/>
      <c r="AD197" s="7"/>
      <c r="AE197" s="7"/>
      <c r="AF197" s="7"/>
      <c r="AG197" s="7">
        <f t="shared" si="6"/>
        <v>44960.2</v>
      </c>
      <c r="AH197" s="7"/>
      <c r="AI197" s="7"/>
      <c r="AJ197" s="68"/>
      <c r="AL197" s="72"/>
    </row>
    <row r="198" spans="2:38" ht="54.6" customHeight="1" x14ac:dyDescent="0.2">
      <c r="B198" s="13" t="s">
        <v>112</v>
      </c>
      <c r="C198" s="15" t="s">
        <v>113</v>
      </c>
      <c r="D198" s="21">
        <v>2230</v>
      </c>
      <c r="E198" s="7">
        <f>24.5*1800+2277*24.5</f>
        <v>99886.5</v>
      </c>
      <c r="F198" s="7"/>
      <c r="G198" s="7">
        <f t="shared" si="9"/>
        <v>99886.5</v>
      </c>
      <c r="H198" s="3"/>
      <c r="I198" s="7"/>
      <c r="J198" s="7"/>
      <c r="K198" s="7"/>
      <c r="L198" s="8"/>
      <c r="M198" s="8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>
        <v>-3.31</v>
      </c>
      <c r="Z198" s="7"/>
      <c r="AA198" s="7"/>
      <c r="AB198" s="7"/>
      <c r="AC198" s="7"/>
      <c r="AD198" s="7"/>
      <c r="AE198" s="7"/>
      <c r="AF198" s="7"/>
      <c r="AG198" s="7">
        <f t="shared" si="6"/>
        <v>99883.19</v>
      </c>
      <c r="AH198" s="7"/>
      <c r="AI198" s="7"/>
      <c r="AJ198" s="68"/>
      <c r="AL198" s="72"/>
    </row>
    <row r="199" spans="2:38" ht="58.15" customHeight="1" x14ac:dyDescent="0.2">
      <c r="B199" s="13" t="s">
        <v>114</v>
      </c>
      <c r="C199" s="15" t="s">
        <v>115</v>
      </c>
      <c r="D199" s="21">
        <v>2230</v>
      </c>
      <c r="E199" s="7">
        <f>29.5*1000+900*34.5</f>
        <v>60550</v>
      </c>
      <c r="F199" s="7"/>
      <c r="G199" s="7">
        <f t="shared" si="9"/>
        <v>60550</v>
      </c>
      <c r="H199" s="3"/>
      <c r="I199" s="7"/>
      <c r="J199" s="7"/>
      <c r="K199" s="7"/>
      <c r="L199" s="8"/>
      <c r="M199" s="8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>
        <v>25378</v>
      </c>
      <c r="Z199" s="7"/>
      <c r="AA199" s="7"/>
      <c r="AB199" s="7"/>
      <c r="AC199" s="7">
        <f>--129.05-17959</f>
        <v>-17829.95</v>
      </c>
      <c r="AD199" s="7">
        <v>17700.900000000001</v>
      </c>
      <c r="AE199" s="7"/>
      <c r="AF199" s="7"/>
      <c r="AG199" s="7">
        <f t="shared" si="6"/>
        <v>85798.950000000012</v>
      </c>
      <c r="AH199" s="7"/>
      <c r="AI199" s="7"/>
      <c r="AJ199" s="68"/>
      <c r="AL199" s="72"/>
    </row>
    <row r="200" spans="2:38" ht="54.6" customHeight="1" x14ac:dyDescent="0.2">
      <c r="B200" s="13" t="s">
        <v>474</v>
      </c>
      <c r="C200" s="15" t="s">
        <v>475</v>
      </c>
      <c r="D200" s="21">
        <v>2230</v>
      </c>
      <c r="E200" s="7">
        <f>265*8.75+300*8.75</f>
        <v>4943.75</v>
      </c>
      <c r="F200" s="7"/>
      <c r="G200" s="7">
        <f t="shared" si="9"/>
        <v>4943.75</v>
      </c>
      <c r="H200" s="3"/>
      <c r="I200" s="7"/>
      <c r="J200" s="7"/>
      <c r="K200" s="7"/>
      <c r="L200" s="8"/>
      <c r="M200" s="8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>
        <v>-3193.75</v>
      </c>
      <c r="Z200" s="7"/>
      <c r="AA200" s="7"/>
      <c r="AB200" s="7"/>
      <c r="AC200" s="7"/>
      <c r="AD200" s="7"/>
      <c r="AE200" s="7"/>
      <c r="AF200" s="7"/>
      <c r="AG200" s="7">
        <f t="shared" si="6"/>
        <v>1750</v>
      </c>
      <c r="AH200" s="7"/>
      <c r="AI200" s="7"/>
      <c r="AJ200" s="68"/>
      <c r="AL200" s="72"/>
    </row>
    <row r="201" spans="2:38" ht="54.6" customHeight="1" x14ac:dyDescent="0.2">
      <c r="B201" s="13" t="s">
        <v>116</v>
      </c>
      <c r="C201" s="15" t="s">
        <v>117</v>
      </c>
      <c r="D201" s="21">
        <v>2230</v>
      </c>
      <c r="E201" s="7">
        <f>60*28.6+223*18+50*21.4+100*21.4</f>
        <v>8940</v>
      </c>
      <c r="F201" s="7"/>
      <c r="G201" s="7">
        <f t="shared" si="9"/>
        <v>8940</v>
      </c>
      <c r="H201" s="3"/>
      <c r="I201" s="7"/>
      <c r="J201" s="7"/>
      <c r="K201" s="7"/>
      <c r="L201" s="8"/>
      <c r="M201" s="8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>
        <v>-26.2</v>
      </c>
      <c r="Z201" s="7"/>
      <c r="AA201" s="7"/>
      <c r="AB201" s="7"/>
      <c r="AC201" s="7"/>
      <c r="AD201" s="7"/>
      <c r="AE201" s="7"/>
      <c r="AF201" s="7"/>
      <c r="AG201" s="7">
        <f t="shared" si="6"/>
        <v>8913.7999999999993</v>
      </c>
      <c r="AH201" s="7"/>
      <c r="AI201" s="7"/>
      <c r="AJ201" s="68"/>
      <c r="AL201" s="72"/>
    </row>
    <row r="202" spans="2:38" ht="54.6" customHeight="1" x14ac:dyDescent="0.2">
      <c r="B202" s="13" t="s">
        <v>118</v>
      </c>
      <c r="C202" s="15" t="s">
        <v>119</v>
      </c>
      <c r="D202" s="21">
        <v>2230</v>
      </c>
      <c r="E202" s="7">
        <f>287*19+80*9.7+200*21.5</f>
        <v>10529</v>
      </c>
      <c r="F202" s="7"/>
      <c r="G202" s="7">
        <f t="shared" si="9"/>
        <v>10529</v>
      </c>
      <c r="H202" s="3"/>
      <c r="I202" s="7"/>
      <c r="J202" s="7"/>
      <c r="K202" s="7"/>
      <c r="L202" s="8"/>
      <c r="M202" s="8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>
        <v>-124.5</v>
      </c>
      <c r="Z202" s="7"/>
      <c r="AA202" s="7">
        <v>525</v>
      </c>
      <c r="AB202" s="7"/>
      <c r="AC202" s="7"/>
      <c r="AD202" s="7"/>
      <c r="AE202" s="7"/>
      <c r="AF202" s="7"/>
      <c r="AG202" s="7">
        <f t="shared" si="6"/>
        <v>10929.5</v>
      </c>
      <c r="AH202" s="7"/>
      <c r="AI202" s="7"/>
      <c r="AJ202" s="68"/>
      <c r="AL202" s="72"/>
    </row>
    <row r="203" spans="2:38" ht="54.6" customHeight="1" x14ac:dyDescent="0.2">
      <c r="B203" s="13" t="s">
        <v>476</v>
      </c>
      <c r="C203" s="15" t="s">
        <v>477</v>
      </c>
      <c r="D203" s="21">
        <v>2230</v>
      </c>
      <c r="E203" s="7">
        <f>536*16.6+1300*17.3</f>
        <v>31387.599999999999</v>
      </c>
      <c r="F203" s="7"/>
      <c r="G203" s="7">
        <f t="shared" si="9"/>
        <v>31387.599999999999</v>
      </c>
      <c r="H203" s="3"/>
      <c r="I203" s="7"/>
      <c r="J203" s="7"/>
      <c r="K203" s="7"/>
      <c r="L203" s="8"/>
      <c r="M203" s="8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63">
        <v>-4.9000000000000004</v>
      </c>
      <c r="Z203" s="7"/>
      <c r="AA203" s="7">
        <v>-1.43</v>
      </c>
      <c r="AB203" s="7"/>
      <c r="AC203" s="7"/>
      <c r="AD203" s="7"/>
      <c r="AE203" s="7"/>
      <c r="AF203" s="7"/>
      <c r="AG203" s="7">
        <f t="shared" si="6"/>
        <v>31381.269999999997</v>
      </c>
      <c r="AH203" s="7"/>
      <c r="AI203" s="7"/>
      <c r="AJ203" s="68"/>
      <c r="AL203" s="72"/>
    </row>
    <row r="204" spans="2:38" ht="54.6" customHeight="1" x14ac:dyDescent="0.2">
      <c r="B204" s="13" t="s">
        <v>478</v>
      </c>
      <c r="C204" s="15" t="s">
        <v>479</v>
      </c>
      <c r="D204" s="21">
        <v>2230</v>
      </c>
      <c r="E204" s="7">
        <v>3920</v>
      </c>
      <c r="F204" s="7"/>
      <c r="G204" s="7">
        <f>E204+F204</f>
        <v>3920</v>
      </c>
      <c r="H204" s="7"/>
      <c r="I204" s="7"/>
      <c r="J204" s="7"/>
      <c r="K204" s="9"/>
      <c r="L204" s="8"/>
      <c r="M204" s="8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63">
        <v>-2800</v>
      </c>
      <c r="Z204" s="7"/>
      <c r="AA204" s="7"/>
      <c r="AB204" s="7"/>
      <c r="AC204" s="7"/>
      <c r="AD204" s="7"/>
      <c r="AE204" s="7"/>
      <c r="AF204" s="7"/>
      <c r="AG204" s="7">
        <f t="shared" si="6"/>
        <v>1120</v>
      </c>
      <c r="AH204" s="7"/>
      <c r="AI204" s="7"/>
      <c r="AJ204" s="68"/>
      <c r="AL204" s="72"/>
    </row>
    <row r="205" spans="2:38" ht="54.6" customHeight="1" x14ac:dyDescent="0.2">
      <c r="B205" s="13" t="s">
        <v>122</v>
      </c>
      <c r="C205" s="15" t="s">
        <v>123</v>
      </c>
      <c r="D205" s="21">
        <v>2230</v>
      </c>
      <c r="E205" s="7">
        <f>415*10.49+800*11.6</f>
        <v>13633.35</v>
      </c>
      <c r="F205" s="7"/>
      <c r="G205" s="7">
        <f t="shared" si="9"/>
        <v>13633.35</v>
      </c>
      <c r="H205" s="3"/>
      <c r="I205" s="7"/>
      <c r="J205" s="7"/>
      <c r="K205" s="7"/>
      <c r="L205" s="8"/>
      <c r="M205" s="8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>
        <v>-13.9</v>
      </c>
      <c r="Z205" s="7"/>
      <c r="AA205" s="7">
        <f>0.5-13.5</f>
        <v>-13</v>
      </c>
      <c r="AB205" s="7"/>
      <c r="AC205" s="7"/>
      <c r="AD205" s="7"/>
      <c r="AE205" s="7"/>
      <c r="AF205" s="7"/>
      <c r="AG205" s="7">
        <f t="shared" si="6"/>
        <v>13606.45</v>
      </c>
      <c r="AH205" s="7"/>
      <c r="AI205" s="7"/>
      <c r="AJ205" s="68"/>
      <c r="AL205" s="72"/>
    </row>
    <row r="206" spans="2:38" ht="54.6" customHeight="1" x14ac:dyDescent="0.2">
      <c r="B206" s="13" t="s">
        <v>124</v>
      </c>
      <c r="C206" s="15" t="s">
        <v>125</v>
      </c>
      <c r="D206" s="21">
        <v>2230</v>
      </c>
      <c r="E206" s="7">
        <f>4.5*300+800*5</f>
        <v>5350</v>
      </c>
      <c r="F206" s="7"/>
      <c r="G206" s="7">
        <f t="shared" si="9"/>
        <v>5350</v>
      </c>
      <c r="H206" s="3"/>
      <c r="I206" s="7"/>
      <c r="J206" s="7"/>
      <c r="K206" s="7"/>
      <c r="L206" s="8"/>
      <c r="M206" s="8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>
        <f t="shared" si="6"/>
        <v>5350</v>
      </c>
      <c r="AH206" s="7"/>
      <c r="AI206" s="7"/>
      <c r="AJ206" s="68"/>
      <c r="AL206" s="72"/>
    </row>
    <row r="207" spans="2:38" ht="54.6" customHeight="1" x14ac:dyDescent="0.2">
      <c r="B207" s="13" t="s">
        <v>126</v>
      </c>
      <c r="C207" s="15" t="s">
        <v>127</v>
      </c>
      <c r="D207" s="21">
        <v>2230</v>
      </c>
      <c r="E207" s="7">
        <f>200*4.25+100*5.5+400*8.48+343*19.5+300*8.9+350*6.7+1500*10.9+100*20.5+800*9.8</f>
        <v>42735.5</v>
      </c>
      <c r="F207" s="7"/>
      <c r="G207" s="7">
        <f t="shared" si="9"/>
        <v>42735.5</v>
      </c>
      <c r="H207" s="3"/>
      <c r="I207" s="7"/>
      <c r="J207" s="7"/>
      <c r="K207" s="7"/>
      <c r="L207" s="8"/>
      <c r="M207" s="8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>
        <v>8554</v>
      </c>
      <c r="Z207" s="7"/>
      <c r="AA207" s="7">
        <f>0.5</f>
        <v>0.5</v>
      </c>
      <c r="AB207" s="7"/>
      <c r="AC207" s="7"/>
      <c r="AD207" s="7"/>
      <c r="AE207" s="7"/>
      <c r="AF207" s="7"/>
      <c r="AG207" s="7">
        <f t="shared" si="6"/>
        <v>51290</v>
      </c>
      <c r="AH207" s="7"/>
      <c r="AI207" s="7"/>
      <c r="AJ207" s="68"/>
      <c r="AL207" s="72"/>
    </row>
    <row r="208" spans="2:38" ht="54.6" customHeight="1" x14ac:dyDescent="0.2">
      <c r="B208" s="13" t="s">
        <v>480</v>
      </c>
      <c r="C208" s="15" t="s">
        <v>481</v>
      </c>
      <c r="D208" s="21">
        <v>2230</v>
      </c>
      <c r="E208" s="7">
        <f>21*50</f>
        <v>1050</v>
      </c>
      <c r="F208" s="7"/>
      <c r="G208" s="7">
        <f t="shared" si="9"/>
        <v>1050</v>
      </c>
      <c r="H208" s="3"/>
      <c r="I208" s="7"/>
      <c r="J208" s="7"/>
      <c r="K208" s="7"/>
      <c r="L208" s="8"/>
      <c r="M208" s="8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>
        <v>-210</v>
      </c>
      <c r="Z208" s="7"/>
      <c r="AA208" s="7"/>
      <c r="AB208" s="7"/>
      <c r="AC208" s="7"/>
      <c r="AD208" s="7"/>
      <c r="AE208" s="7"/>
      <c r="AF208" s="7"/>
      <c r="AG208" s="7">
        <f t="shared" si="6"/>
        <v>840</v>
      </c>
      <c r="AH208" s="7"/>
      <c r="AI208" s="7"/>
      <c r="AJ208" s="68"/>
      <c r="AL208" s="72"/>
    </row>
    <row r="209" spans="2:38" ht="46.9" customHeight="1" x14ac:dyDescent="0.2">
      <c r="B209" s="13" t="s">
        <v>128</v>
      </c>
      <c r="C209" s="15" t="s">
        <v>129</v>
      </c>
      <c r="D209" s="21">
        <v>2230</v>
      </c>
      <c r="E209" s="7">
        <f>5.65*3600+5.48*810-3920+6954.75*5.65+1963.5*5.9</f>
        <v>71737.787500000006</v>
      </c>
      <c r="F209" s="7"/>
      <c r="G209" s="7">
        <f t="shared" si="9"/>
        <v>71737.787500000006</v>
      </c>
      <c r="H209" s="3"/>
      <c r="I209" s="7"/>
      <c r="J209" s="7"/>
      <c r="K209" s="7"/>
      <c r="L209" s="8"/>
      <c r="M209" s="8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>
        <v>10.82</v>
      </c>
      <c r="AC209" s="7">
        <v>-18891.25</v>
      </c>
      <c r="AD209" s="7">
        <f>139.87+18880.43</f>
        <v>19020.3</v>
      </c>
      <c r="AE209" s="7"/>
      <c r="AF209" s="7"/>
      <c r="AG209" s="7">
        <f t="shared" si="6"/>
        <v>71877.657500000016</v>
      </c>
      <c r="AH209" s="7"/>
      <c r="AI209" s="7"/>
      <c r="AJ209" s="68"/>
      <c r="AL209" s="72"/>
    </row>
    <row r="210" spans="2:38" ht="54.6" customHeight="1" x14ac:dyDescent="0.2">
      <c r="B210" s="13" t="s">
        <v>482</v>
      </c>
      <c r="C210" s="15" t="s">
        <v>483</v>
      </c>
      <c r="D210" s="21">
        <v>2230</v>
      </c>
      <c r="E210" s="7">
        <f>150*7</f>
        <v>1050</v>
      </c>
      <c r="F210" s="7"/>
      <c r="G210" s="7">
        <f t="shared" si="9"/>
        <v>1050</v>
      </c>
      <c r="H210" s="7"/>
      <c r="I210" s="7"/>
      <c r="J210" s="7"/>
      <c r="K210" s="9"/>
      <c r="L210" s="8"/>
      <c r="M210" s="8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>
        <v>-3</v>
      </c>
      <c r="Z210" s="7"/>
      <c r="AA210" s="7"/>
      <c r="AB210" s="7"/>
      <c r="AC210" s="7"/>
      <c r="AD210" s="7"/>
      <c r="AE210" s="7"/>
      <c r="AF210" s="7"/>
      <c r="AG210" s="7">
        <f t="shared" si="6"/>
        <v>1047</v>
      </c>
      <c r="AH210" s="7"/>
      <c r="AI210" s="7"/>
      <c r="AJ210" s="68"/>
      <c r="AL210" s="72"/>
    </row>
    <row r="211" spans="2:38" ht="54.6" customHeight="1" x14ac:dyDescent="0.2">
      <c r="B211" s="13" t="s">
        <v>130</v>
      </c>
      <c r="C211" s="15" t="s">
        <v>131</v>
      </c>
      <c r="D211" s="21">
        <v>2230</v>
      </c>
      <c r="E211" s="7">
        <f>313.542*9.6+2000*9.75</f>
        <v>22510.003199999999</v>
      </c>
      <c r="F211" s="7"/>
      <c r="G211" s="7">
        <f t="shared" si="9"/>
        <v>22510.003199999999</v>
      </c>
      <c r="H211" s="3"/>
      <c r="I211" s="7"/>
      <c r="J211" s="7"/>
      <c r="K211" s="7"/>
      <c r="L211" s="8"/>
      <c r="M211" s="8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>
        <v>-200.5</v>
      </c>
      <c r="Z211" s="7"/>
      <c r="AA211" s="7"/>
      <c r="AB211" s="7"/>
      <c r="AC211" s="7"/>
      <c r="AD211" s="7"/>
      <c r="AE211" s="7"/>
      <c r="AF211" s="7"/>
      <c r="AG211" s="7">
        <f t="shared" si="6"/>
        <v>22309.503199999999</v>
      </c>
      <c r="AH211" s="7"/>
      <c r="AI211" s="7"/>
      <c r="AJ211" s="68"/>
      <c r="AL211" s="72"/>
    </row>
    <row r="212" spans="2:38" ht="54.6" customHeight="1" x14ac:dyDescent="0.2">
      <c r="B212" s="13" t="s">
        <v>132</v>
      </c>
      <c r="C212" s="15" t="s">
        <v>133</v>
      </c>
      <c r="D212" s="21">
        <v>2230</v>
      </c>
      <c r="E212" s="7">
        <f>1*73.75+7*65</f>
        <v>528.75</v>
      </c>
      <c r="F212" s="7"/>
      <c r="G212" s="7">
        <f t="shared" si="9"/>
        <v>528.75</v>
      </c>
      <c r="H212" s="3"/>
      <c r="I212" s="7"/>
      <c r="J212" s="7"/>
      <c r="K212" s="7"/>
      <c r="L212" s="8"/>
      <c r="M212" s="8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>
        <v>260</v>
      </c>
      <c r="AA212" s="7">
        <v>-2.6</v>
      </c>
      <c r="AB212" s="7"/>
      <c r="AC212" s="7"/>
      <c r="AD212" s="7"/>
      <c r="AE212" s="7"/>
      <c r="AF212" s="7"/>
      <c r="AG212" s="7">
        <f t="shared" si="6"/>
        <v>786.15</v>
      </c>
      <c r="AH212" s="7"/>
      <c r="AI212" s="7"/>
      <c r="AJ212" s="68"/>
      <c r="AL212" s="72"/>
    </row>
    <row r="213" spans="2:38" ht="54.6" customHeight="1" x14ac:dyDescent="0.2">
      <c r="B213" s="13" t="s">
        <v>134</v>
      </c>
      <c r="C213" s="15" t="s">
        <v>135</v>
      </c>
      <c r="D213" s="21">
        <v>2230</v>
      </c>
      <c r="E213" s="7">
        <f>50*3.2+100*24+104*3.45</f>
        <v>2918.8</v>
      </c>
      <c r="F213" s="7"/>
      <c r="G213" s="7">
        <f t="shared" si="9"/>
        <v>2918.8</v>
      </c>
      <c r="H213" s="3"/>
      <c r="I213" s="7"/>
      <c r="J213" s="7"/>
      <c r="K213" s="7"/>
      <c r="L213" s="8"/>
      <c r="M213" s="8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>
        <v>-3.4</v>
      </c>
      <c r="Z213" s="7"/>
      <c r="AA213" s="7"/>
      <c r="AB213" s="7"/>
      <c r="AC213" s="7"/>
      <c r="AD213" s="7"/>
      <c r="AE213" s="7"/>
      <c r="AF213" s="7"/>
      <c r="AG213" s="7">
        <f t="shared" si="6"/>
        <v>2915.4</v>
      </c>
      <c r="AH213" s="7"/>
      <c r="AI213" s="7"/>
      <c r="AJ213" s="68"/>
      <c r="AL213" s="73"/>
    </row>
    <row r="214" spans="2:38" ht="54.6" customHeight="1" x14ac:dyDescent="0.2">
      <c r="B214" s="13" t="s">
        <v>136</v>
      </c>
      <c r="C214" s="15" t="s">
        <v>137</v>
      </c>
      <c r="D214" s="21">
        <v>2230</v>
      </c>
      <c r="E214" s="7">
        <f>84*1</f>
        <v>84</v>
      </c>
      <c r="F214" s="7"/>
      <c r="G214" s="7">
        <f t="shared" si="9"/>
        <v>84</v>
      </c>
      <c r="H214" s="3"/>
      <c r="I214" s="7"/>
      <c r="J214" s="7"/>
      <c r="K214" s="7"/>
      <c r="L214" s="8"/>
      <c r="M214" s="8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>
        <f t="shared" si="6"/>
        <v>84</v>
      </c>
      <c r="AH214" s="7"/>
      <c r="AI214" s="7"/>
      <c r="AJ214" s="68"/>
    </row>
    <row r="215" spans="2:38" ht="54.6" customHeight="1" x14ac:dyDescent="0.2">
      <c r="B215" s="13" t="s">
        <v>138</v>
      </c>
      <c r="C215" s="15" t="s">
        <v>484</v>
      </c>
      <c r="D215" s="21">
        <v>2230</v>
      </c>
      <c r="E215" s="7">
        <f>2.2*50+500*2.5</f>
        <v>1360</v>
      </c>
      <c r="F215" s="7"/>
      <c r="G215" s="7">
        <f t="shared" si="9"/>
        <v>1360</v>
      </c>
      <c r="H215" s="3"/>
      <c r="I215" s="7"/>
      <c r="J215" s="7"/>
      <c r="K215" s="7"/>
      <c r="L215" s="8"/>
      <c r="M215" s="8"/>
      <c r="N215" s="7"/>
      <c r="O215" s="7"/>
      <c r="P215" s="7"/>
      <c r="Q215" s="7"/>
      <c r="R215" s="7"/>
      <c r="S215" s="7"/>
      <c r="T215" s="7"/>
      <c r="U215" s="7">
        <v>-610</v>
      </c>
      <c r="V215" s="7"/>
      <c r="W215" s="7"/>
      <c r="X215" s="7"/>
      <c r="Y215" s="7">
        <v>305</v>
      </c>
      <c r="Z215" s="7"/>
      <c r="AA215" s="7"/>
      <c r="AB215" s="7"/>
      <c r="AC215" s="7"/>
      <c r="AD215" s="7"/>
      <c r="AE215" s="7"/>
      <c r="AF215" s="7"/>
      <c r="AG215" s="7">
        <f t="shared" si="6"/>
        <v>1055</v>
      </c>
      <c r="AH215" s="7"/>
      <c r="AI215" s="7"/>
      <c r="AJ215" s="68"/>
    </row>
    <row r="216" spans="2:38" ht="62.45" customHeight="1" x14ac:dyDescent="0.2">
      <c r="B216" s="13" t="s">
        <v>485</v>
      </c>
      <c r="C216" s="15" t="s">
        <v>486</v>
      </c>
      <c r="D216" s="21">
        <v>2230</v>
      </c>
      <c r="E216" s="7"/>
      <c r="F216" s="7">
        <v>74054.25</v>
      </c>
      <c r="G216" s="7">
        <f t="shared" si="9"/>
        <v>74054.25</v>
      </c>
      <c r="H216" s="7"/>
      <c r="I216" s="7"/>
      <c r="J216" s="7"/>
      <c r="K216" s="9"/>
      <c r="L216" s="8"/>
      <c r="M216" s="8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>
        <v>74054.25</v>
      </c>
      <c r="AH216" s="7"/>
      <c r="AI216" s="7"/>
      <c r="AJ216" s="68"/>
    </row>
    <row r="217" spans="2:38" ht="54.6" customHeight="1" x14ac:dyDescent="0.2">
      <c r="B217" s="13" t="s">
        <v>140</v>
      </c>
      <c r="C217" s="15" t="s">
        <v>141</v>
      </c>
      <c r="D217" s="21">
        <v>2230</v>
      </c>
      <c r="E217" s="7">
        <f>3*7.95+14*8</f>
        <v>135.85</v>
      </c>
      <c r="F217" s="7"/>
      <c r="G217" s="7">
        <f t="shared" si="9"/>
        <v>135.85</v>
      </c>
      <c r="H217" s="3"/>
      <c r="I217" s="7"/>
      <c r="J217" s="7"/>
      <c r="K217" s="7"/>
      <c r="L217" s="8"/>
      <c r="M217" s="8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>
        <v>37.85</v>
      </c>
      <c r="Z217" s="7"/>
      <c r="AA217" s="7"/>
      <c r="AB217" s="7"/>
      <c r="AC217" s="7"/>
      <c r="AD217" s="7"/>
      <c r="AE217" s="7"/>
      <c r="AF217" s="7"/>
      <c r="AG217" s="7">
        <f t="shared" ref="AG217:AG281" si="10">G217+I217+J217+K217+L217+M217+N217+O217+P217+Q217+R217+S217+T217+U217+V217+W217+X217+Y217+Z217+AA217+AB217+AC217+AD217+AE217+AF217</f>
        <v>173.7</v>
      </c>
      <c r="AH217" s="7"/>
      <c r="AI217" s="7"/>
      <c r="AJ217" s="68"/>
    </row>
    <row r="218" spans="2:38" ht="54.6" customHeight="1" x14ac:dyDescent="0.2">
      <c r="B218" s="13" t="s">
        <v>142</v>
      </c>
      <c r="C218" s="15" t="s">
        <v>143</v>
      </c>
      <c r="D218" s="21">
        <v>2230</v>
      </c>
      <c r="E218" s="7">
        <f>10.8*60+133.5*10.8</f>
        <v>2089.8000000000002</v>
      </c>
      <c r="F218" s="7"/>
      <c r="G218" s="7">
        <f t="shared" si="9"/>
        <v>2089.8000000000002</v>
      </c>
      <c r="H218" s="3"/>
      <c r="I218" s="7"/>
      <c r="J218" s="7"/>
      <c r="K218" s="7"/>
      <c r="L218" s="8"/>
      <c r="M218" s="8"/>
      <c r="N218" s="7"/>
      <c r="O218" s="7"/>
      <c r="P218" s="7"/>
      <c r="Q218" s="7"/>
      <c r="R218" s="7"/>
      <c r="S218" s="7"/>
      <c r="T218" s="7"/>
      <c r="U218" s="7">
        <v>-1069.8</v>
      </c>
      <c r="V218" s="7"/>
      <c r="W218" s="7"/>
      <c r="X218" s="7"/>
      <c r="Y218" s="7">
        <v>528</v>
      </c>
      <c r="Z218" s="7"/>
      <c r="AA218" s="7"/>
      <c r="AB218" s="7"/>
      <c r="AC218" s="7"/>
      <c r="AD218" s="7"/>
      <c r="AE218" s="7"/>
      <c r="AF218" s="7"/>
      <c r="AG218" s="7">
        <f t="shared" si="10"/>
        <v>1548.0000000000002</v>
      </c>
      <c r="AH218" s="7"/>
      <c r="AI218" s="7"/>
      <c r="AJ218" s="68"/>
    </row>
    <row r="219" spans="2:38" ht="48" customHeight="1" x14ac:dyDescent="0.2">
      <c r="B219" s="65" t="s">
        <v>144</v>
      </c>
      <c r="C219" s="15"/>
      <c r="D219" s="21"/>
      <c r="E219" s="60">
        <v>600000</v>
      </c>
      <c r="F219" s="60">
        <f>74054.25</f>
        <v>74054.25</v>
      </c>
      <c r="G219" s="60">
        <f>SUM(G193:G218)</f>
        <v>674054.25290000008</v>
      </c>
      <c r="H219" s="3"/>
      <c r="I219" s="7"/>
      <c r="J219" s="7"/>
      <c r="K219" s="7"/>
      <c r="L219" s="8"/>
      <c r="M219" s="8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60">
        <f>SUM(AG193:AG218)</f>
        <v>674054.25290000008</v>
      </c>
      <c r="AH219" s="7"/>
      <c r="AI219" s="7"/>
      <c r="AJ219" s="66" t="s">
        <v>487</v>
      </c>
    </row>
    <row r="220" spans="2:38" ht="54.6" customHeight="1" x14ac:dyDescent="0.2">
      <c r="B220" s="13" t="s">
        <v>488</v>
      </c>
      <c r="C220" s="15" t="s">
        <v>489</v>
      </c>
      <c r="D220" s="21">
        <v>2240</v>
      </c>
      <c r="E220" s="7"/>
      <c r="F220" s="7"/>
      <c r="G220" s="7"/>
      <c r="H220" s="7"/>
      <c r="I220" s="7"/>
      <c r="J220" s="7"/>
      <c r="K220" s="7"/>
      <c r="L220" s="8"/>
      <c r="M220" s="8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>
        <v>4987</v>
      </c>
      <c r="AC220" s="7"/>
      <c r="AD220" s="7"/>
      <c r="AE220" s="7"/>
      <c r="AF220" s="7"/>
      <c r="AG220" s="7">
        <f t="shared" ref="AG220" si="11">G220+I220+J220+K220+L220+M220+N220+O220+P220+Q220+R220+S220+T220+U220+V220+W220+X220+Y220+Z220+AA220+AB220+AC220+AD220+AE220+AF220</f>
        <v>4987</v>
      </c>
      <c r="AH220" s="7"/>
      <c r="AI220" s="7"/>
      <c r="AJ220" s="58"/>
    </row>
    <row r="221" spans="2:38" ht="54.6" customHeight="1" x14ac:dyDescent="0.2">
      <c r="B221" s="13" t="s">
        <v>145</v>
      </c>
      <c r="C221" s="15" t="s">
        <v>146</v>
      </c>
      <c r="D221" s="21">
        <v>2240</v>
      </c>
      <c r="E221" s="7"/>
      <c r="F221" s="7">
        <v>5000</v>
      </c>
      <c r="G221" s="7">
        <f t="shared" ref="G221:G265" si="12">E221+F221</f>
        <v>5000</v>
      </c>
      <c r="H221" s="3"/>
      <c r="I221" s="7"/>
      <c r="J221" s="7"/>
      <c r="K221" s="7"/>
      <c r="L221" s="8"/>
      <c r="M221" s="8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>
        <f t="shared" si="10"/>
        <v>5000</v>
      </c>
      <c r="AH221" s="7"/>
      <c r="AI221" s="7"/>
      <c r="AJ221" s="66"/>
    </row>
    <row r="222" spans="2:38" ht="54.6" customHeight="1" x14ac:dyDescent="0.2">
      <c r="B222" s="13" t="s">
        <v>147</v>
      </c>
      <c r="C222" s="15" t="s">
        <v>148</v>
      </c>
      <c r="D222" s="21">
        <v>2240</v>
      </c>
      <c r="E222" s="7"/>
      <c r="F222" s="59"/>
      <c r="G222" s="7"/>
      <c r="H222" s="7"/>
      <c r="I222" s="7"/>
      <c r="J222" s="7"/>
      <c r="K222" s="7">
        <v>20000</v>
      </c>
      <c r="L222" s="8"/>
      <c r="M222" s="8"/>
      <c r="N222" s="7"/>
      <c r="O222" s="7"/>
      <c r="P222" s="7"/>
      <c r="Q222" s="7"/>
      <c r="R222" s="7"/>
      <c r="S222" s="63">
        <v>2670</v>
      </c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>
        <f t="shared" si="10"/>
        <v>22670</v>
      </c>
      <c r="AH222" s="7"/>
      <c r="AI222" s="7"/>
      <c r="AJ222" s="58"/>
    </row>
    <row r="223" spans="2:38" ht="47.25" x14ac:dyDescent="0.2">
      <c r="B223" s="13" t="s">
        <v>150</v>
      </c>
      <c r="C223" s="15" t="s">
        <v>151</v>
      </c>
      <c r="D223" s="21">
        <v>2240</v>
      </c>
      <c r="E223" s="7"/>
      <c r="F223" s="59"/>
      <c r="G223" s="7"/>
      <c r="H223" s="33"/>
      <c r="I223" s="60">
        <v>2388.52</v>
      </c>
      <c r="J223" s="7"/>
      <c r="K223" s="7">
        <v>4700</v>
      </c>
      <c r="L223" s="8"/>
      <c r="M223" s="7">
        <v>2150</v>
      </c>
      <c r="N223" s="7"/>
      <c r="O223" s="63">
        <v>11768.1</v>
      </c>
      <c r="P223" s="7"/>
      <c r="Q223" s="7"/>
      <c r="R223" s="7"/>
      <c r="S223" s="63">
        <v>1326</v>
      </c>
      <c r="T223" s="14">
        <v>1000</v>
      </c>
      <c r="U223" s="20"/>
      <c r="V223" s="20"/>
      <c r="W223" s="63">
        <v>2404.56</v>
      </c>
      <c r="X223" s="7"/>
      <c r="Y223" s="7"/>
      <c r="Z223" s="7">
        <f>5700+2000</f>
        <v>7700</v>
      </c>
      <c r="AA223" s="7"/>
      <c r="AB223" s="7"/>
      <c r="AC223" s="7"/>
      <c r="AD223" s="7"/>
      <c r="AE223" s="7"/>
      <c r="AF223" s="7"/>
      <c r="AG223" s="7">
        <f t="shared" si="10"/>
        <v>33437.180000000008</v>
      </c>
      <c r="AH223" s="7"/>
      <c r="AI223" s="7"/>
      <c r="AJ223" s="74"/>
    </row>
    <row r="224" spans="2:38" ht="54.6" customHeight="1" x14ac:dyDescent="0.2">
      <c r="B224" s="13" t="s">
        <v>490</v>
      </c>
      <c r="C224" s="15" t="s">
        <v>491</v>
      </c>
      <c r="D224" s="15">
        <v>2240</v>
      </c>
      <c r="E224" s="7"/>
      <c r="F224" s="59"/>
      <c r="G224" s="7"/>
      <c r="H224" s="33"/>
      <c r="I224" s="60"/>
      <c r="J224" s="7"/>
      <c r="K224" s="7"/>
      <c r="L224" s="8"/>
      <c r="M224" s="7"/>
      <c r="N224" s="7"/>
      <c r="O224" s="63"/>
      <c r="P224" s="7"/>
      <c r="Q224" s="7"/>
      <c r="R224" s="7"/>
      <c r="S224" s="63"/>
      <c r="T224" s="14"/>
      <c r="U224" s="63">
        <v>11985</v>
      </c>
      <c r="V224" s="20"/>
      <c r="W224" s="20"/>
      <c r="X224" s="7"/>
      <c r="Y224" s="7"/>
      <c r="Z224" s="7"/>
      <c r="AA224" s="7"/>
      <c r="AB224" s="7"/>
      <c r="AC224" s="7"/>
      <c r="AD224" s="7"/>
      <c r="AE224" s="7"/>
      <c r="AF224" s="7"/>
      <c r="AG224" s="7">
        <f t="shared" si="10"/>
        <v>11985</v>
      </c>
      <c r="AH224" s="7"/>
      <c r="AI224" s="7"/>
      <c r="AJ224" s="34"/>
    </row>
    <row r="225" spans="2:36" ht="54.6" customHeight="1" x14ac:dyDescent="0.2">
      <c r="B225" s="13" t="s">
        <v>153</v>
      </c>
      <c r="C225" s="15" t="s">
        <v>154</v>
      </c>
      <c r="D225" s="21">
        <v>2240</v>
      </c>
      <c r="E225" s="7"/>
      <c r="F225" s="59"/>
      <c r="G225" s="7"/>
      <c r="H225" s="33"/>
      <c r="I225" s="60"/>
      <c r="J225" s="7"/>
      <c r="K225" s="7"/>
      <c r="L225" s="8"/>
      <c r="M225" s="7"/>
      <c r="N225" s="7">
        <v>959.1</v>
      </c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>
        <f t="shared" si="10"/>
        <v>959.1</v>
      </c>
      <c r="AH225" s="7"/>
      <c r="AI225" s="7"/>
      <c r="AJ225" s="34"/>
    </row>
    <row r="226" spans="2:36" ht="54.6" customHeight="1" x14ac:dyDescent="0.2">
      <c r="B226" s="13" t="s">
        <v>156</v>
      </c>
      <c r="C226" s="15" t="s">
        <v>157</v>
      </c>
      <c r="D226" s="21">
        <v>2240</v>
      </c>
      <c r="E226" s="7"/>
      <c r="F226" s="7">
        <v>20000</v>
      </c>
      <c r="G226" s="7">
        <f t="shared" si="12"/>
        <v>20000</v>
      </c>
      <c r="H226" s="3"/>
      <c r="I226" s="7"/>
      <c r="J226" s="7"/>
      <c r="K226" s="7"/>
      <c r="L226" s="8"/>
      <c r="M226" s="8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>
        <f t="shared" si="10"/>
        <v>20000</v>
      </c>
      <c r="AH226" s="7"/>
      <c r="AI226" s="7"/>
      <c r="AJ226" s="66"/>
    </row>
    <row r="227" spans="2:36" ht="33" x14ac:dyDescent="0.2">
      <c r="B227" s="13" t="s">
        <v>159</v>
      </c>
      <c r="C227" s="15" t="s">
        <v>160</v>
      </c>
      <c r="D227" s="21">
        <v>2240</v>
      </c>
      <c r="E227" s="7">
        <v>476</v>
      </c>
      <c r="F227" s="7">
        <v>1600</v>
      </c>
      <c r="G227" s="7">
        <f t="shared" si="12"/>
        <v>2076</v>
      </c>
      <c r="H227" s="3"/>
      <c r="I227" s="7"/>
      <c r="J227" s="7"/>
      <c r="K227" s="7"/>
      <c r="L227" s="8"/>
      <c r="M227" s="8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>
        <v>558.9</v>
      </c>
      <c r="AA227" s="7"/>
      <c r="AB227" s="7"/>
      <c r="AC227" s="7"/>
      <c r="AD227" s="7"/>
      <c r="AE227" s="7"/>
      <c r="AF227" s="7"/>
      <c r="AG227" s="7">
        <f t="shared" si="10"/>
        <v>2634.9</v>
      </c>
      <c r="AH227" s="7"/>
      <c r="AI227" s="7"/>
      <c r="AJ227" s="74"/>
    </row>
    <row r="228" spans="2:36" ht="54.6" customHeight="1" x14ac:dyDescent="0.2">
      <c r="B228" s="13" t="s">
        <v>492</v>
      </c>
      <c r="C228" s="15" t="s">
        <v>493</v>
      </c>
      <c r="D228" s="21">
        <v>2240</v>
      </c>
      <c r="E228" s="7"/>
      <c r="F228" s="59"/>
      <c r="G228" s="7"/>
      <c r="H228" s="33"/>
      <c r="I228" s="60">
        <v>999.6</v>
      </c>
      <c r="J228" s="7"/>
      <c r="K228" s="7"/>
      <c r="L228" s="8"/>
      <c r="M228" s="8"/>
      <c r="N228" s="7"/>
      <c r="O228" s="7"/>
      <c r="P228" s="7"/>
      <c r="Q228" s="7"/>
      <c r="R228" s="7"/>
      <c r="S228" s="7"/>
      <c r="T228" s="7"/>
      <c r="U228" s="7">
        <v>2500</v>
      </c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>
        <f t="shared" si="10"/>
        <v>3499.6</v>
      </c>
      <c r="AH228" s="7"/>
      <c r="AI228" s="7"/>
      <c r="AJ228" s="34"/>
    </row>
    <row r="229" spans="2:36" ht="54.6" customHeight="1" x14ac:dyDescent="0.2">
      <c r="B229" s="13" t="s">
        <v>161</v>
      </c>
      <c r="C229" s="15" t="s">
        <v>162</v>
      </c>
      <c r="D229" s="21">
        <v>2240</v>
      </c>
      <c r="E229" s="7"/>
      <c r="F229" s="7">
        <v>300</v>
      </c>
      <c r="G229" s="7">
        <f t="shared" si="12"/>
        <v>300</v>
      </c>
      <c r="H229" s="3"/>
      <c r="I229" s="7"/>
      <c r="J229" s="7"/>
      <c r="K229" s="7"/>
      <c r="L229" s="8"/>
      <c r="M229" s="8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>
        <f t="shared" si="10"/>
        <v>300</v>
      </c>
      <c r="AH229" s="7"/>
      <c r="AI229" s="7"/>
      <c r="AJ229" s="66"/>
    </row>
    <row r="230" spans="2:36" ht="63" x14ac:dyDescent="0.2">
      <c r="B230" s="13" t="s">
        <v>494</v>
      </c>
      <c r="C230" s="15" t="s">
        <v>495</v>
      </c>
      <c r="D230" s="21">
        <v>2240</v>
      </c>
      <c r="E230" s="7"/>
      <c r="F230" s="7"/>
      <c r="G230" s="7"/>
      <c r="H230" s="3"/>
      <c r="I230" s="7"/>
      <c r="J230" s="7"/>
      <c r="K230" s="7"/>
      <c r="L230" s="8"/>
      <c r="M230" s="8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>
        <v>3000</v>
      </c>
      <c r="AA230" s="7">
        <v>4578</v>
      </c>
      <c r="AB230" s="7"/>
      <c r="AC230" s="7"/>
      <c r="AD230" s="7"/>
      <c r="AE230" s="7"/>
      <c r="AF230" s="7"/>
      <c r="AG230" s="7">
        <f t="shared" si="10"/>
        <v>7578</v>
      </c>
      <c r="AH230" s="7"/>
      <c r="AI230" s="7"/>
      <c r="AJ230" s="68"/>
    </row>
    <row r="231" spans="2:36" ht="54.6" customHeight="1" x14ac:dyDescent="0.2">
      <c r="B231" s="19" t="s">
        <v>496</v>
      </c>
      <c r="C231" s="15" t="s">
        <v>497</v>
      </c>
      <c r="D231" s="21">
        <v>2240</v>
      </c>
      <c r="E231" s="7"/>
      <c r="F231" s="7"/>
      <c r="G231" s="7"/>
      <c r="H231" s="3"/>
      <c r="I231" s="7"/>
      <c r="J231" s="7"/>
      <c r="K231" s="7"/>
      <c r="L231" s="8"/>
      <c r="M231" s="8"/>
      <c r="N231" s="7"/>
      <c r="O231" s="7">
        <v>20.399999999999999</v>
      </c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>
        <f t="shared" si="10"/>
        <v>20.399999999999999</v>
      </c>
      <c r="AH231" s="7"/>
      <c r="AI231" s="7"/>
      <c r="AJ231" s="66"/>
    </row>
    <row r="232" spans="2:36" ht="54.6" customHeight="1" x14ac:dyDescent="0.2">
      <c r="B232" s="13" t="s">
        <v>163</v>
      </c>
      <c r="C232" s="15" t="s">
        <v>164</v>
      </c>
      <c r="D232" s="21">
        <v>2240</v>
      </c>
      <c r="E232" s="7">
        <v>6253</v>
      </c>
      <c r="F232" s="7">
        <v>11747</v>
      </c>
      <c r="G232" s="7">
        <f t="shared" si="12"/>
        <v>18000</v>
      </c>
      <c r="H232" s="3"/>
      <c r="I232" s="7"/>
      <c r="J232" s="7"/>
      <c r="K232" s="7"/>
      <c r="L232" s="8"/>
      <c r="M232" s="8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>
        <f t="shared" si="10"/>
        <v>18000</v>
      </c>
      <c r="AH232" s="7"/>
      <c r="AI232" s="7"/>
      <c r="AJ232" s="66"/>
    </row>
    <row r="233" spans="2:36" ht="54.6" customHeight="1" x14ac:dyDescent="0.2">
      <c r="B233" s="13" t="s">
        <v>166</v>
      </c>
      <c r="C233" s="15" t="s">
        <v>167</v>
      </c>
      <c r="D233" s="21">
        <v>2240</v>
      </c>
      <c r="E233" s="7"/>
      <c r="F233" s="7">
        <v>3600</v>
      </c>
      <c r="G233" s="7">
        <f t="shared" si="12"/>
        <v>3600</v>
      </c>
      <c r="H233" s="3"/>
      <c r="I233" s="7"/>
      <c r="J233" s="7"/>
      <c r="K233" s="7"/>
      <c r="L233" s="8"/>
      <c r="M233" s="8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>
        <f t="shared" si="10"/>
        <v>3600</v>
      </c>
      <c r="AH233" s="7"/>
      <c r="AI233" s="7"/>
      <c r="AJ233" s="66"/>
    </row>
    <row r="234" spans="2:36" ht="54.6" customHeight="1" x14ac:dyDescent="0.2">
      <c r="B234" s="13" t="s">
        <v>168</v>
      </c>
      <c r="C234" s="15" t="s">
        <v>169</v>
      </c>
      <c r="D234" s="21">
        <v>2240</v>
      </c>
      <c r="E234" s="7"/>
      <c r="F234" s="7">
        <v>750</v>
      </c>
      <c r="G234" s="7">
        <f t="shared" si="12"/>
        <v>750</v>
      </c>
      <c r="H234" s="3"/>
      <c r="I234" s="7"/>
      <c r="J234" s="7"/>
      <c r="K234" s="7"/>
      <c r="L234" s="8"/>
      <c r="M234" s="8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>
        <f t="shared" si="10"/>
        <v>750</v>
      </c>
      <c r="AH234" s="7"/>
      <c r="AI234" s="7"/>
      <c r="AJ234" s="66"/>
    </row>
    <row r="235" spans="2:36" ht="54.6" customHeight="1" x14ac:dyDescent="0.2">
      <c r="B235" s="13" t="s">
        <v>498</v>
      </c>
      <c r="C235" s="15" t="s">
        <v>499</v>
      </c>
      <c r="D235" s="21">
        <v>2240</v>
      </c>
      <c r="E235" s="7"/>
      <c r="F235" s="7">
        <v>2520</v>
      </c>
      <c r="G235" s="7">
        <f t="shared" si="12"/>
        <v>2520</v>
      </c>
      <c r="H235" s="3"/>
      <c r="I235" s="7"/>
      <c r="J235" s="7"/>
      <c r="K235" s="7"/>
      <c r="L235" s="8"/>
      <c r="M235" s="8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>
        <f t="shared" si="10"/>
        <v>2520</v>
      </c>
      <c r="AH235" s="7"/>
      <c r="AI235" s="7"/>
      <c r="AJ235" s="66"/>
    </row>
    <row r="236" spans="2:36" ht="54.6" customHeight="1" x14ac:dyDescent="0.2">
      <c r="B236" s="13" t="s">
        <v>170</v>
      </c>
      <c r="C236" s="15" t="s">
        <v>171</v>
      </c>
      <c r="D236" s="21">
        <v>2240</v>
      </c>
      <c r="E236" s="7"/>
      <c r="F236" s="7">
        <v>5600</v>
      </c>
      <c r="G236" s="7">
        <f t="shared" si="12"/>
        <v>5600</v>
      </c>
      <c r="H236" s="3"/>
      <c r="I236" s="7"/>
      <c r="J236" s="7"/>
      <c r="K236" s="7"/>
      <c r="L236" s="8"/>
      <c r="M236" s="8"/>
      <c r="N236" s="7"/>
      <c r="O236" s="7"/>
      <c r="P236" s="7"/>
      <c r="Q236" s="7"/>
      <c r="R236" s="7"/>
      <c r="S236" s="7"/>
      <c r="T236" s="7"/>
      <c r="U236" s="7">
        <v>5475</v>
      </c>
      <c r="V236" s="7"/>
      <c r="W236" s="7"/>
      <c r="X236" s="7"/>
      <c r="Y236" s="7">
        <v>1100</v>
      </c>
      <c r="Z236" s="7"/>
      <c r="AA236" s="7"/>
      <c r="AB236" s="7"/>
      <c r="AC236" s="7"/>
      <c r="AD236" s="7"/>
      <c r="AE236" s="7"/>
      <c r="AF236" s="7"/>
      <c r="AG236" s="7">
        <f t="shared" si="10"/>
        <v>12175</v>
      </c>
      <c r="AH236" s="7"/>
      <c r="AI236" s="7"/>
      <c r="AJ236" s="66"/>
    </row>
    <row r="237" spans="2:36" ht="54.6" customHeight="1" x14ac:dyDescent="0.2">
      <c r="B237" s="19" t="s">
        <v>172</v>
      </c>
      <c r="C237" s="15" t="s">
        <v>173</v>
      </c>
      <c r="D237" s="21">
        <v>2240</v>
      </c>
      <c r="E237" s="7"/>
      <c r="F237" s="7"/>
      <c r="G237" s="7"/>
      <c r="H237" s="3"/>
      <c r="I237" s="7"/>
      <c r="J237" s="7"/>
      <c r="K237" s="7"/>
      <c r="L237" s="8"/>
      <c r="M237" s="8"/>
      <c r="N237" s="7"/>
      <c r="O237" s="7"/>
      <c r="P237" s="7"/>
      <c r="Q237" s="7"/>
      <c r="R237" s="7"/>
      <c r="S237" s="7"/>
      <c r="T237" s="7"/>
      <c r="U237" s="7"/>
      <c r="V237" s="7">
        <v>810</v>
      </c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>
        <f t="shared" si="10"/>
        <v>810</v>
      </c>
      <c r="AH237" s="7"/>
      <c r="AI237" s="7"/>
      <c r="AJ237" s="66"/>
    </row>
    <row r="238" spans="2:36" ht="54.6" customHeight="1" x14ac:dyDescent="0.2">
      <c r="B238" s="13" t="s">
        <v>177</v>
      </c>
      <c r="C238" s="15" t="s">
        <v>178</v>
      </c>
      <c r="D238" s="21">
        <v>2240</v>
      </c>
      <c r="E238" s="7"/>
      <c r="F238" s="7">
        <v>15000</v>
      </c>
      <c r="G238" s="7">
        <f t="shared" si="12"/>
        <v>15000</v>
      </c>
      <c r="H238" s="3"/>
      <c r="I238" s="7"/>
      <c r="J238" s="7"/>
      <c r="K238" s="7"/>
      <c r="L238" s="8"/>
      <c r="M238" s="8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>
        <f t="shared" si="10"/>
        <v>15000</v>
      </c>
      <c r="AH238" s="7"/>
      <c r="AI238" s="7"/>
      <c r="AJ238" s="66"/>
    </row>
    <row r="239" spans="2:36" ht="54.6" customHeight="1" x14ac:dyDescent="0.2">
      <c r="B239" s="13" t="s">
        <v>179</v>
      </c>
      <c r="C239" s="15" t="s">
        <v>180</v>
      </c>
      <c r="D239" s="21">
        <v>2240</v>
      </c>
      <c r="E239" s="7"/>
      <c r="F239" s="7">
        <v>1600</v>
      </c>
      <c r="G239" s="7">
        <f t="shared" si="12"/>
        <v>1600</v>
      </c>
      <c r="H239" s="3"/>
      <c r="I239" s="7"/>
      <c r="J239" s="7"/>
      <c r="K239" s="7"/>
      <c r="L239" s="8"/>
      <c r="M239" s="8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>
        <f t="shared" si="10"/>
        <v>1600</v>
      </c>
      <c r="AH239" s="7"/>
      <c r="AI239" s="7"/>
      <c r="AJ239" s="66"/>
    </row>
    <row r="240" spans="2:36" ht="54.6" customHeight="1" x14ac:dyDescent="0.2">
      <c r="B240" s="13" t="s">
        <v>500</v>
      </c>
      <c r="C240" s="15" t="s">
        <v>501</v>
      </c>
      <c r="D240" s="15">
        <v>2240</v>
      </c>
      <c r="E240" s="7"/>
      <c r="F240" s="7"/>
      <c r="G240" s="7"/>
      <c r="H240" s="3"/>
      <c r="I240" s="7"/>
      <c r="J240" s="7"/>
      <c r="K240" s="7"/>
      <c r="L240" s="8"/>
      <c r="M240" s="8"/>
      <c r="N240" s="7"/>
      <c r="O240" s="7"/>
      <c r="P240" s="7"/>
      <c r="Q240" s="7"/>
      <c r="R240" s="7"/>
      <c r="S240" s="7"/>
      <c r="T240" s="7"/>
      <c r="U240" s="7">
        <v>3000</v>
      </c>
      <c r="V240" s="7">
        <v>3400</v>
      </c>
      <c r="W240" s="7">
        <v>2708</v>
      </c>
      <c r="X240" s="7"/>
      <c r="Y240" s="7"/>
      <c r="Z240" s="7"/>
      <c r="AA240" s="7"/>
      <c r="AB240" s="7"/>
      <c r="AC240" s="7"/>
      <c r="AD240" s="7"/>
      <c r="AE240" s="7"/>
      <c r="AF240" s="7"/>
      <c r="AG240" s="7">
        <f t="shared" si="10"/>
        <v>9108</v>
      </c>
      <c r="AH240" s="7"/>
      <c r="AI240" s="7"/>
      <c r="AJ240" s="66"/>
    </row>
    <row r="241" spans="2:36" ht="54.6" customHeight="1" x14ac:dyDescent="0.2">
      <c r="B241" s="13" t="s">
        <v>181</v>
      </c>
      <c r="C241" s="15" t="s">
        <v>182</v>
      </c>
      <c r="D241" s="21">
        <v>2240</v>
      </c>
      <c r="E241" s="7"/>
      <c r="F241" s="7">
        <v>5400</v>
      </c>
      <c r="G241" s="7">
        <f t="shared" si="12"/>
        <v>5400</v>
      </c>
      <c r="H241" s="3"/>
      <c r="I241" s="7"/>
      <c r="J241" s="7"/>
      <c r="K241" s="7"/>
      <c r="L241" s="8"/>
      <c r="M241" s="8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>
        <f t="shared" si="10"/>
        <v>5400</v>
      </c>
      <c r="AH241" s="7"/>
      <c r="AI241" s="7"/>
      <c r="AJ241" s="66"/>
    </row>
    <row r="242" spans="2:36" ht="99.75" customHeight="1" x14ac:dyDescent="0.2">
      <c r="B242" s="13" t="s">
        <v>183</v>
      </c>
      <c r="C242" s="15" t="s">
        <v>184</v>
      </c>
      <c r="D242" s="21">
        <v>2240</v>
      </c>
      <c r="E242" s="7">
        <f>10000-89</f>
        <v>9911</v>
      </c>
      <c r="F242" s="7">
        <f>99600-10000+89</f>
        <v>89689</v>
      </c>
      <c r="G242" s="7">
        <f t="shared" si="12"/>
        <v>99600</v>
      </c>
      <c r="H242" s="3"/>
      <c r="I242" s="7"/>
      <c r="J242" s="7"/>
      <c r="K242" s="7"/>
      <c r="L242" s="8"/>
      <c r="M242" s="8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>
        <v>3185.48</v>
      </c>
      <c r="AD242" s="7"/>
      <c r="AE242" s="7"/>
      <c r="AF242" s="7"/>
      <c r="AG242" s="7">
        <f t="shared" si="10"/>
        <v>102785.48</v>
      </c>
      <c r="AH242" s="7"/>
      <c r="AI242" s="7"/>
      <c r="AJ242" s="75" t="s">
        <v>502</v>
      </c>
    </row>
    <row r="243" spans="2:36" ht="54.6" customHeight="1" x14ac:dyDescent="0.2">
      <c r="B243" s="13" t="s">
        <v>185</v>
      </c>
      <c r="C243" s="15" t="s">
        <v>186</v>
      </c>
      <c r="D243" s="21">
        <v>2240</v>
      </c>
      <c r="E243" s="7">
        <v>360</v>
      </c>
      <c r="F243" s="7"/>
      <c r="G243" s="7">
        <f t="shared" si="12"/>
        <v>360</v>
      </c>
      <c r="H243" s="7"/>
      <c r="I243" s="7"/>
      <c r="J243" s="7"/>
      <c r="K243" s="7">
        <v>1799.14</v>
      </c>
      <c r="L243" s="8"/>
      <c r="M243" s="8"/>
      <c r="N243" s="7"/>
      <c r="O243" s="7"/>
      <c r="P243" s="7"/>
      <c r="Q243" s="7"/>
      <c r="R243" s="7"/>
      <c r="S243" s="7"/>
      <c r="T243" s="7"/>
      <c r="U243" s="7">
        <v>700</v>
      </c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>
        <f t="shared" si="10"/>
        <v>2859.1400000000003</v>
      </c>
      <c r="AH243" s="7"/>
      <c r="AI243" s="7"/>
      <c r="AJ243" s="58"/>
    </row>
    <row r="244" spans="2:36" ht="54.6" customHeight="1" x14ac:dyDescent="0.2">
      <c r="B244" s="13" t="s">
        <v>187</v>
      </c>
      <c r="C244" s="15" t="s">
        <v>188</v>
      </c>
      <c r="D244" s="21">
        <v>2240</v>
      </c>
      <c r="E244" s="7"/>
      <c r="F244" s="7"/>
      <c r="G244" s="7"/>
      <c r="H244" s="7"/>
      <c r="I244" s="7"/>
      <c r="J244" s="7"/>
      <c r="K244" s="7"/>
      <c r="L244" s="8"/>
      <c r="M244" s="8"/>
      <c r="N244" s="7"/>
      <c r="O244" s="7"/>
      <c r="P244" s="7"/>
      <c r="Q244" s="20" t="s">
        <v>503</v>
      </c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>
        <f t="shared" si="10"/>
        <v>12100</v>
      </c>
      <c r="AH244" s="7"/>
      <c r="AI244" s="7"/>
      <c r="AJ244" s="58"/>
    </row>
    <row r="245" spans="2:36" ht="54.6" customHeight="1" x14ac:dyDescent="0.2">
      <c r="B245" s="13" t="s">
        <v>190</v>
      </c>
      <c r="C245" s="15" t="s">
        <v>191</v>
      </c>
      <c r="D245" s="21">
        <v>2240</v>
      </c>
      <c r="E245" s="7"/>
      <c r="F245" s="7">
        <v>5000</v>
      </c>
      <c r="G245" s="7">
        <f t="shared" si="12"/>
        <v>5000</v>
      </c>
      <c r="H245" s="3"/>
      <c r="I245" s="7"/>
      <c r="J245" s="7"/>
      <c r="K245" s="7"/>
      <c r="L245" s="8"/>
      <c r="M245" s="8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62"/>
      <c r="AC245" s="7"/>
      <c r="AD245" s="7"/>
      <c r="AE245" s="7"/>
      <c r="AF245" s="7"/>
      <c r="AG245" s="7">
        <f t="shared" si="10"/>
        <v>5000</v>
      </c>
      <c r="AH245" s="7"/>
      <c r="AI245" s="7"/>
      <c r="AJ245" s="66"/>
    </row>
    <row r="246" spans="2:36" ht="54.6" customHeight="1" x14ac:dyDescent="0.2">
      <c r="B246" s="13" t="s">
        <v>192</v>
      </c>
      <c r="C246" s="15" t="s">
        <v>193</v>
      </c>
      <c r="D246" s="21">
        <v>2240</v>
      </c>
      <c r="E246" s="7"/>
      <c r="F246" s="7">
        <v>15600</v>
      </c>
      <c r="G246" s="7">
        <f t="shared" si="12"/>
        <v>15600</v>
      </c>
      <c r="H246" s="3"/>
      <c r="I246" s="7"/>
      <c r="J246" s="7"/>
      <c r="K246" s="7"/>
      <c r="L246" s="8"/>
      <c r="M246" s="8"/>
      <c r="N246" s="7"/>
      <c r="O246" s="7"/>
      <c r="P246" s="7"/>
      <c r="Q246" s="20" t="s">
        <v>504</v>
      </c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>
        <f t="shared" si="10"/>
        <v>3500</v>
      </c>
      <c r="AH246" s="7"/>
      <c r="AI246" s="7"/>
      <c r="AJ246" s="66"/>
    </row>
    <row r="247" spans="2:36" ht="33" x14ac:dyDescent="0.2">
      <c r="B247" s="13" t="s">
        <v>195</v>
      </c>
      <c r="C247" s="15" t="s">
        <v>196</v>
      </c>
      <c r="D247" s="21">
        <v>2240</v>
      </c>
      <c r="E247" s="7"/>
      <c r="F247" s="7"/>
      <c r="G247" s="7"/>
      <c r="H247" s="3"/>
      <c r="I247" s="7"/>
      <c r="J247" s="7"/>
      <c r="K247" s="7"/>
      <c r="L247" s="8"/>
      <c r="M247" s="8"/>
      <c r="N247" s="7"/>
      <c r="O247" s="7"/>
      <c r="P247" s="7"/>
      <c r="Q247" s="20"/>
      <c r="R247" s="7"/>
      <c r="S247" s="7"/>
      <c r="T247" s="7"/>
      <c r="U247" s="7"/>
      <c r="V247" s="7"/>
      <c r="W247" s="7"/>
      <c r="X247" s="7"/>
      <c r="Y247" s="7">
        <v>3600</v>
      </c>
      <c r="Z247" s="7">
        <v>400</v>
      </c>
      <c r="AA247" s="7"/>
      <c r="AB247" s="7"/>
      <c r="AC247" s="7"/>
      <c r="AD247" s="7"/>
      <c r="AE247" s="7"/>
      <c r="AF247" s="7"/>
      <c r="AG247" s="7">
        <f t="shared" si="10"/>
        <v>4000</v>
      </c>
      <c r="AH247" s="7"/>
      <c r="AI247" s="7"/>
      <c r="AJ247" s="74"/>
    </row>
    <row r="248" spans="2:36" ht="54.6" customHeight="1" x14ac:dyDescent="0.2">
      <c r="B248" s="13" t="s">
        <v>505</v>
      </c>
      <c r="C248" s="15" t="s">
        <v>506</v>
      </c>
      <c r="D248" s="21">
        <v>2240</v>
      </c>
      <c r="E248" s="7"/>
      <c r="F248" s="7">
        <v>6000</v>
      </c>
      <c r="G248" s="7">
        <f>E248+F248</f>
        <v>6000</v>
      </c>
      <c r="H248" s="3"/>
      <c r="I248" s="7"/>
      <c r="J248" s="7"/>
      <c r="K248" s="7"/>
      <c r="L248" s="8"/>
      <c r="M248" s="8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62"/>
      <c r="AC248" s="7"/>
      <c r="AD248" s="7"/>
      <c r="AE248" s="7"/>
      <c r="AF248" s="7"/>
      <c r="AG248" s="7">
        <f t="shared" si="10"/>
        <v>6000</v>
      </c>
      <c r="AH248" s="7"/>
      <c r="AI248" s="7"/>
      <c r="AJ248" s="66"/>
    </row>
    <row r="249" spans="2:36" ht="54.6" customHeight="1" x14ac:dyDescent="0.2">
      <c r="B249" s="13" t="s">
        <v>197</v>
      </c>
      <c r="C249" s="15" t="s">
        <v>198</v>
      </c>
      <c r="D249" s="21">
        <v>2240</v>
      </c>
      <c r="E249" s="7">
        <v>3000</v>
      </c>
      <c r="F249" s="7">
        <v>18140</v>
      </c>
      <c r="G249" s="7">
        <f t="shared" si="12"/>
        <v>21140</v>
      </c>
      <c r="H249" s="3"/>
      <c r="I249" s="7"/>
      <c r="J249" s="7"/>
      <c r="K249" s="7"/>
      <c r="L249" s="8"/>
      <c r="M249" s="8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>
        <f t="shared" si="10"/>
        <v>21140</v>
      </c>
      <c r="AH249" s="7"/>
      <c r="AI249" s="7"/>
      <c r="AJ249" s="66"/>
    </row>
    <row r="250" spans="2:36" ht="75" customHeight="1" x14ac:dyDescent="0.2">
      <c r="B250" s="13" t="s">
        <v>200</v>
      </c>
      <c r="C250" s="15" t="s">
        <v>201</v>
      </c>
      <c r="D250" s="21">
        <v>2240</v>
      </c>
      <c r="E250" s="7"/>
      <c r="F250" s="7">
        <v>14300</v>
      </c>
      <c r="G250" s="7">
        <f t="shared" si="12"/>
        <v>14300</v>
      </c>
      <c r="H250" s="3"/>
      <c r="I250" s="7"/>
      <c r="J250" s="7">
        <v>6802.21</v>
      </c>
      <c r="K250" s="7">
        <v>5131.8100000000004</v>
      </c>
      <c r="L250" s="8"/>
      <c r="M250" s="8"/>
      <c r="N250" s="7">
        <v>3357.55</v>
      </c>
      <c r="O250" s="7"/>
      <c r="P250" s="20" t="s">
        <v>507</v>
      </c>
      <c r="Q250" s="7"/>
      <c r="R250" s="7"/>
      <c r="S250" s="20" t="s">
        <v>508</v>
      </c>
      <c r="T250" s="7"/>
      <c r="U250" s="7"/>
      <c r="V250" s="7"/>
      <c r="W250" s="7"/>
      <c r="X250" s="7">
        <v>15009.44</v>
      </c>
      <c r="Y250" s="7">
        <v>3544</v>
      </c>
      <c r="Z250" s="7"/>
      <c r="AA250" s="7">
        <v>4322</v>
      </c>
      <c r="AB250" s="7">
        <f>4600-354.4</f>
        <v>4245.6000000000004</v>
      </c>
      <c r="AC250" s="7">
        <v>5000</v>
      </c>
      <c r="AD250" s="7"/>
      <c r="AE250" s="7"/>
      <c r="AF250" s="7"/>
      <c r="AG250" s="7">
        <f t="shared" si="10"/>
        <v>76581.83</v>
      </c>
      <c r="AH250" s="7"/>
      <c r="AI250" s="7"/>
      <c r="AJ250" s="58"/>
    </row>
    <row r="251" spans="2:36" ht="54.6" customHeight="1" x14ac:dyDescent="0.2">
      <c r="B251" s="13" t="s">
        <v>509</v>
      </c>
      <c r="C251" s="15" t="s">
        <v>510</v>
      </c>
      <c r="D251" s="21">
        <v>2240</v>
      </c>
      <c r="E251" s="7"/>
      <c r="F251" s="59"/>
      <c r="G251" s="7"/>
      <c r="H251" s="33"/>
      <c r="I251" s="7"/>
      <c r="J251" s="7"/>
      <c r="K251" s="7">
        <v>2982</v>
      </c>
      <c r="L251" s="8"/>
      <c r="M251" s="8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>
        <f t="shared" si="10"/>
        <v>2982</v>
      </c>
      <c r="AH251" s="7"/>
      <c r="AI251" s="7"/>
      <c r="AJ251" s="34"/>
    </row>
    <row r="252" spans="2:36" ht="54.6" customHeight="1" x14ac:dyDescent="0.2">
      <c r="B252" s="13" t="s">
        <v>488</v>
      </c>
      <c r="C252" s="15" t="s">
        <v>489</v>
      </c>
      <c r="D252" s="21">
        <v>2240</v>
      </c>
      <c r="E252" s="7"/>
      <c r="F252" s="7">
        <v>5980</v>
      </c>
      <c r="G252" s="7">
        <f t="shared" si="12"/>
        <v>5980</v>
      </c>
      <c r="H252" s="7" t="s">
        <v>380</v>
      </c>
      <c r="I252" s="7"/>
      <c r="J252" s="7"/>
      <c r="K252" s="7"/>
      <c r="L252" s="8"/>
      <c r="M252" s="8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>
        <f t="shared" si="10"/>
        <v>5980</v>
      </c>
      <c r="AH252" s="7"/>
      <c r="AI252" s="7"/>
      <c r="AJ252" s="58" t="s">
        <v>380</v>
      </c>
    </row>
    <row r="253" spans="2:36" ht="54.6" customHeight="1" x14ac:dyDescent="0.2">
      <c r="B253" s="13" t="s">
        <v>147</v>
      </c>
      <c r="C253" s="15" t="s">
        <v>148</v>
      </c>
      <c r="D253" s="21">
        <v>2240</v>
      </c>
      <c r="E253" s="7">
        <v>1808.44</v>
      </c>
      <c r="F253" s="7">
        <v>7233.76</v>
      </c>
      <c r="G253" s="7">
        <f t="shared" si="12"/>
        <v>9042.2000000000007</v>
      </c>
      <c r="H253" s="7" t="s">
        <v>380</v>
      </c>
      <c r="I253" s="7"/>
      <c r="J253" s="7"/>
      <c r="K253" s="7"/>
      <c r="L253" s="8"/>
      <c r="M253" s="8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>
        <f t="shared" si="10"/>
        <v>9042.2000000000007</v>
      </c>
      <c r="AH253" s="7"/>
      <c r="AI253" s="7"/>
      <c r="AJ253" s="58" t="s">
        <v>380</v>
      </c>
    </row>
    <row r="254" spans="2:36" ht="54.6" customHeight="1" x14ac:dyDescent="0.2">
      <c r="B254" s="13" t="s">
        <v>150</v>
      </c>
      <c r="C254" s="15" t="s">
        <v>151</v>
      </c>
      <c r="D254" s="21">
        <v>2240</v>
      </c>
      <c r="E254" s="7"/>
      <c r="F254" s="7">
        <v>9288</v>
      </c>
      <c r="G254" s="7">
        <f t="shared" si="12"/>
        <v>9288</v>
      </c>
      <c r="H254" s="7" t="s">
        <v>380</v>
      </c>
      <c r="I254" s="7"/>
      <c r="J254" s="7"/>
      <c r="K254" s="7"/>
      <c r="L254" s="8"/>
      <c r="M254" s="8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>
        <f t="shared" si="10"/>
        <v>9288</v>
      </c>
      <c r="AH254" s="7"/>
      <c r="AI254" s="7"/>
      <c r="AJ254" s="58" t="s">
        <v>380</v>
      </c>
    </row>
    <row r="255" spans="2:36" ht="54.6" customHeight="1" x14ac:dyDescent="0.2">
      <c r="B255" s="13" t="s">
        <v>150</v>
      </c>
      <c r="C255" s="15" t="s">
        <v>151</v>
      </c>
      <c r="D255" s="21">
        <v>2240</v>
      </c>
      <c r="E255" s="7">
        <v>960</v>
      </c>
      <c r="F255" s="7"/>
      <c r="G255" s="7">
        <f t="shared" si="12"/>
        <v>960</v>
      </c>
      <c r="H255" s="7" t="s">
        <v>380</v>
      </c>
      <c r="I255" s="7"/>
      <c r="J255" s="7"/>
      <c r="K255" s="7"/>
      <c r="L255" s="8"/>
      <c r="M255" s="8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>
        <f t="shared" si="10"/>
        <v>960</v>
      </c>
      <c r="AH255" s="7"/>
      <c r="AI255" s="7"/>
      <c r="AJ255" s="58" t="s">
        <v>380</v>
      </c>
    </row>
    <row r="256" spans="2:36" ht="54.6" customHeight="1" x14ac:dyDescent="0.2">
      <c r="B256" s="13" t="s">
        <v>156</v>
      </c>
      <c r="C256" s="15" t="s">
        <v>157</v>
      </c>
      <c r="D256" s="21">
        <v>2240</v>
      </c>
      <c r="E256" s="7"/>
      <c r="F256" s="7">
        <v>879.96</v>
      </c>
      <c r="G256" s="7">
        <f t="shared" si="12"/>
        <v>879.96</v>
      </c>
      <c r="H256" s="7" t="s">
        <v>380</v>
      </c>
      <c r="I256" s="7"/>
      <c r="J256" s="7"/>
      <c r="K256" s="7"/>
      <c r="L256" s="8"/>
      <c r="M256" s="8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>
        <f t="shared" si="10"/>
        <v>879.96</v>
      </c>
      <c r="AH256" s="7"/>
      <c r="AI256" s="7"/>
      <c r="AJ256" s="58" t="s">
        <v>380</v>
      </c>
    </row>
    <row r="257" spans="2:36" ht="54.6" customHeight="1" x14ac:dyDescent="0.2">
      <c r="B257" s="13" t="s">
        <v>511</v>
      </c>
      <c r="C257" s="15" t="s">
        <v>512</v>
      </c>
      <c r="D257" s="21">
        <v>2240</v>
      </c>
      <c r="E257" s="7"/>
      <c r="F257" s="7">
        <v>999.6</v>
      </c>
      <c r="G257" s="7">
        <f t="shared" si="12"/>
        <v>999.6</v>
      </c>
      <c r="H257" s="7" t="s">
        <v>380</v>
      </c>
      <c r="I257" s="7"/>
      <c r="J257" s="7"/>
      <c r="K257" s="7"/>
      <c r="L257" s="8"/>
      <c r="M257" s="8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>
        <f t="shared" si="10"/>
        <v>999.6</v>
      </c>
      <c r="AH257" s="7"/>
      <c r="AI257" s="7"/>
      <c r="AJ257" s="58" t="s">
        <v>380</v>
      </c>
    </row>
    <row r="258" spans="2:36" ht="54.6" customHeight="1" x14ac:dyDescent="0.2">
      <c r="B258" s="13" t="s">
        <v>166</v>
      </c>
      <c r="C258" s="15" t="s">
        <v>167</v>
      </c>
      <c r="D258" s="21">
        <v>2240</v>
      </c>
      <c r="E258" s="7">
        <v>300</v>
      </c>
      <c r="F258" s="7">
        <v>1500</v>
      </c>
      <c r="G258" s="7">
        <f t="shared" si="12"/>
        <v>1800</v>
      </c>
      <c r="H258" s="7" t="s">
        <v>380</v>
      </c>
      <c r="I258" s="7"/>
      <c r="J258" s="7"/>
      <c r="K258" s="7"/>
      <c r="L258" s="8"/>
      <c r="M258" s="8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>
        <f t="shared" si="10"/>
        <v>1800</v>
      </c>
      <c r="AH258" s="7"/>
      <c r="AI258" s="7"/>
      <c r="AJ258" s="58" t="s">
        <v>380</v>
      </c>
    </row>
    <row r="259" spans="2:36" ht="54.6" customHeight="1" x14ac:dyDescent="0.2">
      <c r="B259" s="13" t="s">
        <v>170</v>
      </c>
      <c r="C259" s="15" t="s">
        <v>171</v>
      </c>
      <c r="D259" s="21">
        <v>2240</v>
      </c>
      <c r="E259" s="7"/>
      <c r="F259" s="7">
        <v>630</v>
      </c>
      <c r="G259" s="7">
        <f t="shared" si="12"/>
        <v>630</v>
      </c>
      <c r="H259" s="7" t="s">
        <v>380</v>
      </c>
      <c r="I259" s="7"/>
      <c r="J259" s="7"/>
      <c r="K259" s="7"/>
      <c r="L259" s="8"/>
      <c r="M259" s="8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>
        <f t="shared" si="10"/>
        <v>630</v>
      </c>
      <c r="AH259" s="7"/>
      <c r="AI259" s="7"/>
      <c r="AJ259" s="58" t="s">
        <v>380</v>
      </c>
    </row>
    <row r="260" spans="2:36" ht="54.6" customHeight="1" x14ac:dyDescent="0.2">
      <c r="B260" s="13" t="s">
        <v>172</v>
      </c>
      <c r="C260" s="15" t="s">
        <v>173</v>
      </c>
      <c r="D260" s="21">
        <v>2240</v>
      </c>
      <c r="E260" s="7"/>
      <c r="F260" s="7">
        <v>50</v>
      </c>
      <c r="G260" s="7">
        <f t="shared" si="12"/>
        <v>50</v>
      </c>
      <c r="H260" s="7" t="s">
        <v>380</v>
      </c>
      <c r="I260" s="7"/>
      <c r="J260" s="7"/>
      <c r="K260" s="7"/>
      <c r="L260" s="8"/>
      <c r="M260" s="8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>
        <f t="shared" si="10"/>
        <v>50</v>
      </c>
      <c r="AH260" s="7"/>
      <c r="AI260" s="7"/>
      <c r="AJ260" s="58" t="s">
        <v>380</v>
      </c>
    </row>
    <row r="261" spans="2:36" ht="54.6" customHeight="1" x14ac:dyDescent="0.2">
      <c r="B261" s="13" t="s">
        <v>183</v>
      </c>
      <c r="C261" s="15" t="s">
        <v>184</v>
      </c>
      <c r="D261" s="21">
        <v>2240</v>
      </c>
      <c r="E261" s="7">
        <v>408.13</v>
      </c>
      <c r="F261" s="7">
        <v>42490.02</v>
      </c>
      <c r="G261" s="7">
        <f t="shared" si="12"/>
        <v>42898.149999999994</v>
      </c>
      <c r="H261" s="7" t="s">
        <v>380</v>
      </c>
      <c r="I261" s="7"/>
      <c r="J261" s="7"/>
      <c r="K261" s="7"/>
      <c r="L261" s="8"/>
      <c r="M261" s="8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>
        <f t="shared" si="10"/>
        <v>42898.149999999994</v>
      </c>
      <c r="AH261" s="7"/>
      <c r="AI261" s="7"/>
      <c r="AJ261" s="58" t="s">
        <v>380</v>
      </c>
    </row>
    <row r="262" spans="2:36" ht="54.6" customHeight="1" x14ac:dyDescent="0.2">
      <c r="B262" s="13" t="s">
        <v>185</v>
      </c>
      <c r="C262" s="15" t="s">
        <v>186</v>
      </c>
      <c r="D262" s="21">
        <v>2240</v>
      </c>
      <c r="E262" s="7"/>
      <c r="F262" s="7">
        <v>3024</v>
      </c>
      <c r="G262" s="7">
        <f t="shared" si="12"/>
        <v>3024</v>
      </c>
      <c r="H262" s="7" t="s">
        <v>380</v>
      </c>
      <c r="I262" s="7"/>
      <c r="J262" s="7"/>
      <c r="K262" s="7"/>
      <c r="L262" s="8"/>
      <c r="M262" s="8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>
        <f t="shared" si="10"/>
        <v>3024</v>
      </c>
      <c r="AH262" s="7"/>
      <c r="AI262" s="7"/>
      <c r="AJ262" s="58" t="s">
        <v>380</v>
      </c>
    </row>
    <row r="263" spans="2:36" ht="54.6" customHeight="1" x14ac:dyDescent="0.2">
      <c r="B263" s="13" t="s">
        <v>195</v>
      </c>
      <c r="C263" s="15" t="s">
        <v>196</v>
      </c>
      <c r="D263" s="21">
        <v>2240</v>
      </c>
      <c r="E263" s="7"/>
      <c r="F263" s="7">
        <v>3780</v>
      </c>
      <c r="G263" s="7">
        <f t="shared" si="12"/>
        <v>3780</v>
      </c>
      <c r="H263" s="7" t="s">
        <v>380</v>
      </c>
      <c r="I263" s="7"/>
      <c r="J263" s="7"/>
      <c r="K263" s="7"/>
      <c r="L263" s="8"/>
      <c r="M263" s="8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>
        <f t="shared" si="10"/>
        <v>3780</v>
      </c>
      <c r="AH263" s="7"/>
      <c r="AI263" s="7"/>
      <c r="AJ263" s="58" t="s">
        <v>380</v>
      </c>
    </row>
    <row r="264" spans="2:36" ht="54.6" customHeight="1" x14ac:dyDescent="0.2">
      <c r="B264" s="13" t="s">
        <v>505</v>
      </c>
      <c r="C264" s="15" t="s">
        <v>506</v>
      </c>
      <c r="D264" s="21">
        <v>2240</v>
      </c>
      <c r="E264" s="7">
        <v>596.29999999999995</v>
      </c>
      <c r="F264" s="7">
        <v>4455.6499999999996</v>
      </c>
      <c r="G264" s="7">
        <f t="shared" si="12"/>
        <v>5051.95</v>
      </c>
      <c r="H264" s="7" t="s">
        <v>380</v>
      </c>
      <c r="I264" s="7"/>
      <c r="J264" s="7"/>
      <c r="K264" s="7"/>
      <c r="L264" s="8"/>
      <c r="M264" s="8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>
        <f t="shared" si="10"/>
        <v>5051.95</v>
      </c>
      <c r="AH264" s="7"/>
      <c r="AI264" s="7"/>
      <c r="AJ264" s="58" t="s">
        <v>380</v>
      </c>
    </row>
    <row r="265" spans="2:36" ht="54.6" customHeight="1" x14ac:dyDescent="0.2">
      <c r="B265" s="13" t="s">
        <v>197</v>
      </c>
      <c r="C265" s="15" t="s">
        <v>198</v>
      </c>
      <c r="D265" s="21">
        <v>2240</v>
      </c>
      <c r="E265" s="7"/>
      <c r="F265" s="7">
        <v>6039</v>
      </c>
      <c r="G265" s="7">
        <f t="shared" si="12"/>
        <v>6039</v>
      </c>
      <c r="H265" s="7" t="s">
        <v>380</v>
      </c>
      <c r="I265" s="7"/>
      <c r="J265" s="7"/>
      <c r="K265" s="7"/>
      <c r="L265" s="8"/>
      <c r="M265" s="8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>
        <f t="shared" si="10"/>
        <v>6039</v>
      </c>
      <c r="AH265" s="7"/>
      <c r="AI265" s="7"/>
      <c r="AJ265" s="58" t="s">
        <v>380</v>
      </c>
    </row>
    <row r="266" spans="2:36" ht="16.5" x14ac:dyDescent="0.2">
      <c r="B266" s="65" t="s">
        <v>202</v>
      </c>
      <c r="C266" s="15"/>
      <c r="D266" s="21"/>
      <c r="E266" s="60">
        <f>SUM(E221:E265)</f>
        <v>24072.87</v>
      </c>
      <c r="F266" s="60">
        <f>SUM(F221:F265)</f>
        <v>308195.99000000005</v>
      </c>
      <c r="G266" s="60">
        <f>SUM(G221:G265)</f>
        <v>332268.86000000004</v>
      </c>
      <c r="H266" s="3"/>
      <c r="I266" s="7"/>
      <c r="J266" s="7"/>
      <c r="K266" s="7"/>
      <c r="L266" s="8"/>
      <c r="M266" s="8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60">
        <f>SUM(AG220:AG265)</f>
        <v>509405.49000000005</v>
      </c>
      <c r="AH266" s="7"/>
      <c r="AI266" s="7"/>
      <c r="AJ266" s="66"/>
    </row>
    <row r="267" spans="2:36" s="2" customFormat="1" ht="54.6" customHeight="1" x14ac:dyDescent="0.2">
      <c r="B267" s="13" t="s">
        <v>513</v>
      </c>
      <c r="C267" s="15" t="s">
        <v>514</v>
      </c>
      <c r="D267" s="21">
        <v>2272</v>
      </c>
      <c r="E267" s="7"/>
      <c r="F267" s="7"/>
      <c r="G267" s="7"/>
      <c r="H267" s="3"/>
      <c r="I267" s="7"/>
      <c r="J267" s="7"/>
      <c r="K267" s="7"/>
      <c r="L267" s="8"/>
      <c r="M267" s="8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>
        <f>10000-1764.56</f>
        <v>8235.44</v>
      </c>
      <c r="AC267" s="7"/>
      <c r="AD267" s="7"/>
      <c r="AE267" s="7"/>
      <c r="AF267" s="7"/>
      <c r="AG267" s="7">
        <f t="shared" ref="AG267:AG268" si="13">G267+I267+J267+K267+L267+M267+N267+O267+P267+Q267+R267+S267+T267+U267+V267+W267+X267+Y267+Z267+AA267+AB267+AC267+AD267+AE267+AF267</f>
        <v>8235.44</v>
      </c>
      <c r="AH267" s="7"/>
      <c r="AI267" s="7"/>
      <c r="AJ267" s="74"/>
    </row>
    <row r="268" spans="2:36" s="2" customFormat="1" ht="54.6" customHeight="1" x14ac:dyDescent="0.2">
      <c r="B268" s="13" t="s">
        <v>515</v>
      </c>
      <c r="C268" s="15" t="s">
        <v>204</v>
      </c>
      <c r="D268" s="21">
        <v>2272</v>
      </c>
      <c r="E268" s="7"/>
      <c r="F268" s="7"/>
      <c r="G268" s="7"/>
      <c r="H268" s="3"/>
      <c r="I268" s="7"/>
      <c r="J268" s="7"/>
      <c r="K268" s="7"/>
      <c r="L268" s="8"/>
      <c r="M268" s="8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>
        <v>2547.41</v>
      </c>
      <c r="AC268" s="7"/>
      <c r="AD268" s="7"/>
      <c r="AE268" s="7"/>
      <c r="AF268" s="7"/>
      <c r="AG268" s="7">
        <f t="shared" si="13"/>
        <v>2547.41</v>
      </c>
      <c r="AH268" s="7"/>
      <c r="AI268" s="7"/>
      <c r="AJ268" s="74"/>
    </row>
    <row r="269" spans="2:36" s="2" customFormat="1" ht="54.6" customHeight="1" x14ac:dyDescent="0.2">
      <c r="B269" s="65" t="s">
        <v>205</v>
      </c>
      <c r="C269" s="76"/>
      <c r="D269" s="4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  <c r="AA269" s="60"/>
      <c r="AB269" s="60"/>
      <c r="AC269" s="60"/>
      <c r="AD269" s="60"/>
      <c r="AE269" s="60"/>
      <c r="AF269" s="60"/>
      <c r="AG269" s="60">
        <f>SUM(AG267:AG268)</f>
        <v>10782.85</v>
      </c>
      <c r="AH269" s="7"/>
      <c r="AI269" s="7"/>
      <c r="AJ269" s="71"/>
    </row>
    <row r="270" spans="2:36" ht="54.6" customHeight="1" x14ac:dyDescent="0.2">
      <c r="B270" s="13" t="s">
        <v>185</v>
      </c>
      <c r="C270" s="15" t="s">
        <v>186</v>
      </c>
      <c r="D270" s="21">
        <v>2282</v>
      </c>
      <c r="E270" s="7"/>
      <c r="F270" s="7">
        <v>8000</v>
      </c>
      <c r="G270" s="7">
        <f>E270+F270</f>
        <v>8000</v>
      </c>
      <c r="H270" s="7"/>
      <c r="I270" s="7"/>
      <c r="J270" s="7"/>
      <c r="K270" s="7"/>
      <c r="L270" s="8"/>
      <c r="M270" s="8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>
        <f t="shared" si="10"/>
        <v>8000</v>
      </c>
      <c r="AH270" s="7"/>
      <c r="AI270" s="7"/>
      <c r="AJ270" s="58"/>
    </row>
    <row r="271" spans="2:36" ht="54.6" customHeight="1" x14ac:dyDescent="0.2">
      <c r="B271" s="13" t="s">
        <v>185</v>
      </c>
      <c r="C271" s="15" t="s">
        <v>186</v>
      </c>
      <c r="D271" s="21">
        <v>2282</v>
      </c>
      <c r="E271" s="7"/>
      <c r="F271" s="7">
        <v>1300</v>
      </c>
      <c r="G271" s="7">
        <f>E271+F271</f>
        <v>1300</v>
      </c>
      <c r="H271" s="7" t="s">
        <v>380</v>
      </c>
      <c r="I271" s="7"/>
      <c r="J271" s="7"/>
      <c r="K271" s="7"/>
      <c r="L271" s="8"/>
      <c r="M271" s="8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>
        <f t="shared" si="10"/>
        <v>1300</v>
      </c>
      <c r="AH271" s="7"/>
      <c r="AI271" s="7"/>
      <c r="AJ271" s="58" t="s">
        <v>380</v>
      </c>
    </row>
    <row r="272" spans="2:36" ht="54.6" customHeight="1" x14ac:dyDescent="0.2">
      <c r="B272" s="13" t="s">
        <v>516</v>
      </c>
      <c r="C272" s="15" t="s">
        <v>517</v>
      </c>
      <c r="D272" s="21">
        <v>2282</v>
      </c>
      <c r="E272" s="7"/>
      <c r="F272" s="7">
        <v>504</v>
      </c>
      <c r="G272" s="7">
        <f>E272+F272</f>
        <v>504</v>
      </c>
      <c r="H272" s="7" t="s">
        <v>380</v>
      </c>
      <c r="I272" s="7"/>
      <c r="J272" s="7"/>
      <c r="K272" s="7"/>
      <c r="L272" s="8"/>
      <c r="M272" s="8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>
        <f t="shared" si="10"/>
        <v>504</v>
      </c>
      <c r="AH272" s="7"/>
      <c r="AI272" s="7"/>
      <c r="AJ272" s="58" t="s">
        <v>380</v>
      </c>
    </row>
    <row r="273" spans="2:36" ht="54.6" customHeight="1" x14ac:dyDescent="0.2">
      <c r="B273" s="65" t="s">
        <v>206</v>
      </c>
      <c r="C273" s="77"/>
      <c r="D273" s="3"/>
      <c r="E273" s="60">
        <f>SUM(E271:E272)</f>
        <v>0</v>
      </c>
      <c r="F273" s="60">
        <f>SUM(F270:F272)</f>
        <v>9804</v>
      </c>
      <c r="G273" s="60">
        <f>SUM(G270:G272)</f>
        <v>9804</v>
      </c>
      <c r="H273" s="3"/>
      <c r="I273" s="7"/>
      <c r="J273" s="7"/>
      <c r="K273" s="7"/>
      <c r="L273" s="8"/>
      <c r="M273" s="8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60">
        <f>SUM(AG270:AG272)</f>
        <v>9804</v>
      </c>
      <c r="AH273" s="7"/>
      <c r="AI273" s="7"/>
      <c r="AJ273" s="66"/>
    </row>
    <row r="274" spans="2:36" ht="54.6" customHeight="1" x14ac:dyDescent="0.2">
      <c r="B274" s="19" t="s">
        <v>518</v>
      </c>
      <c r="C274" s="15" t="s">
        <v>519</v>
      </c>
      <c r="D274" s="15">
        <v>2800</v>
      </c>
      <c r="E274" s="60"/>
      <c r="F274" s="60"/>
      <c r="G274" s="60"/>
      <c r="H274" s="3"/>
      <c r="I274" s="7"/>
      <c r="J274" s="7"/>
      <c r="K274" s="7"/>
      <c r="L274" s="8"/>
      <c r="M274" s="8"/>
      <c r="N274" s="7"/>
      <c r="O274" s="7"/>
      <c r="P274" s="7"/>
      <c r="Q274" s="7"/>
      <c r="R274" s="7"/>
      <c r="S274" s="7"/>
      <c r="T274" s="7"/>
      <c r="U274" s="7"/>
      <c r="V274" s="7">
        <v>1700</v>
      </c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>
        <f t="shared" si="10"/>
        <v>1700</v>
      </c>
      <c r="AH274" s="7"/>
      <c r="AI274" s="7"/>
      <c r="AJ274" s="66"/>
    </row>
    <row r="275" spans="2:36" ht="54.6" customHeight="1" x14ac:dyDescent="0.2">
      <c r="B275" s="22" t="s">
        <v>520</v>
      </c>
      <c r="C275" s="78"/>
      <c r="D275" s="15"/>
      <c r="E275" s="60"/>
      <c r="F275" s="60"/>
      <c r="G275" s="60"/>
      <c r="H275" s="3"/>
      <c r="I275" s="7"/>
      <c r="J275" s="7"/>
      <c r="K275" s="7"/>
      <c r="L275" s="8"/>
      <c r="M275" s="8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60">
        <f>SUM(AG274)</f>
        <v>1700</v>
      </c>
      <c r="AH275" s="7"/>
      <c r="AI275" s="7"/>
      <c r="AJ275" s="66"/>
    </row>
    <row r="276" spans="2:36" ht="54.6" customHeight="1" x14ac:dyDescent="0.2">
      <c r="B276" s="19" t="s">
        <v>97</v>
      </c>
      <c r="C276" s="15" t="s">
        <v>98</v>
      </c>
      <c r="D276" s="21">
        <v>3110</v>
      </c>
      <c r="E276" s="60"/>
      <c r="F276" s="60"/>
      <c r="G276" s="60"/>
      <c r="H276" s="3"/>
      <c r="I276" s="7"/>
      <c r="J276" s="7"/>
      <c r="K276" s="7"/>
      <c r="L276" s="8"/>
      <c r="M276" s="8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>
        <v>6900</v>
      </c>
      <c r="AA276" s="7"/>
      <c r="AB276" s="7"/>
      <c r="AC276" s="7"/>
      <c r="AD276" s="7"/>
      <c r="AE276" s="7"/>
      <c r="AF276" s="7"/>
      <c r="AG276" s="7">
        <f t="shared" si="10"/>
        <v>6900</v>
      </c>
      <c r="AH276" s="7"/>
      <c r="AI276" s="7"/>
      <c r="AJ276" s="66"/>
    </row>
    <row r="277" spans="2:36" ht="54.6" customHeight="1" x14ac:dyDescent="0.2">
      <c r="B277" s="13" t="s">
        <v>521</v>
      </c>
      <c r="C277" s="15" t="s">
        <v>328</v>
      </c>
      <c r="D277" s="21">
        <v>3110</v>
      </c>
      <c r="E277" s="7"/>
      <c r="F277" s="59"/>
      <c r="G277" s="7"/>
      <c r="H277" s="33"/>
      <c r="I277" s="7"/>
      <c r="J277" s="7"/>
      <c r="K277" s="7">
        <v>5000</v>
      </c>
      <c r="L277" s="7">
        <v>4565.8</v>
      </c>
      <c r="M277" s="8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>
        <f t="shared" si="10"/>
        <v>9565.7999999999993</v>
      </c>
      <c r="AH277" s="7"/>
      <c r="AI277" s="7"/>
      <c r="AJ277" s="34"/>
    </row>
    <row r="278" spans="2:36" ht="54" customHeight="1" x14ac:dyDescent="0.2">
      <c r="B278" s="13" t="s">
        <v>58</v>
      </c>
      <c r="C278" s="15" t="s">
        <v>59</v>
      </c>
      <c r="D278" s="15">
        <v>3110</v>
      </c>
      <c r="E278" s="7"/>
      <c r="F278" s="59"/>
      <c r="G278" s="7"/>
      <c r="H278" s="33"/>
      <c r="I278" s="7"/>
      <c r="J278" s="7"/>
      <c r="K278" s="7"/>
      <c r="L278" s="7"/>
      <c r="M278" s="8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>
        <v>3839</v>
      </c>
      <c r="Y278" s="7"/>
      <c r="Z278" s="7"/>
      <c r="AA278" s="7"/>
      <c r="AB278" s="7"/>
      <c r="AC278" s="7">
        <v>5000</v>
      </c>
      <c r="AD278" s="7"/>
      <c r="AE278" s="7"/>
      <c r="AF278" s="7"/>
      <c r="AG278" s="7">
        <f t="shared" si="10"/>
        <v>8839</v>
      </c>
      <c r="AH278" s="7"/>
      <c r="AI278" s="7"/>
      <c r="AJ278" s="58"/>
    </row>
    <row r="279" spans="2:36" ht="54.6" customHeight="1" x14ac:dyDescent="0.2">
      <c r="B279" s="13" t="s">
        <v>207</v>
      </c>
      <c r="C279" s="15" t="s">
        <v>208</v>
      </c>
      <c r="D279" s="21">
        <v>3110</v>
      </c>
      <c r="E279" s="7"/>
      <c r="F279" s="59"/>
      <c r="G279" s="7"/>
      <c r="H279" s="33"/>
      <c r="I279" s="7"/>
      <c r="J279" s="7"/>
      <c r="K279" s="7"/>
      <c r="L279" s="7"/>
      <c r="M279" s="8"/>
      <c r="N279" s="7"/>
      <c r="O279" s="7"/>
      <c r="P279" s="7"/>
      <c r="Q279" s="7"/>
      <c r="R279" s="7"/>
      <c r="S279" s="20" t="s">
        <v>522</v>
      </c>
      <c r="T279" s="7"/>
      <c r="U279" s="7"/>
      <c r="V279" s="7">
        <v>3000</v>
      </c>
      <c r="W279" s="7">
        <v>4000</v>
      </c>
      <c r="X279" s="7">
        <v>21500</v>
      </c>
      <c r="Y279" s="7">
        <v>7900</v>
      </c>
      <c r="Z279" s="7"/>
      <c r="AA279" s="7"/>
      <c r="AB279" s="7"/>
      <c r="AC279" s="7"/>
      <c r="AD279" s="7"/>
      <c r="AE279" s="7"/>
      <c r="AF279" s="7"/>
      <c r="AG279" s="7">
        <f t="shared" si="10"/>
        <v>58400</v>
      </c>
      <c r="AH279" s="7"/>
      <c r="AI279" s="7"/>
      <c r="AJ279" s="34"/>
    </row>
    <row r="280" spans="2:36" ht="54.6" customHeight="1" x14ac:dyDescent="0.2">
      <c r="B280" s="13" t="s">
        <v>366</v>
      </c>
      <c r="C280" s="15" t="s">
        <v>367</v>
      </c>
      <c r="D280" s="21">
        <v>3110</v>
      </c>
      <c r="E280" s="8"/>
      <c r="F280" s="59"/>
      <c r="G280" s="7"/>
      <c r="H280" s="33"/>
      <c r="I280" s="7"/>
      <c r="J280" s="7"/>
      <c r="K280" s="7"/>
      <c r="L280" s="7">
        <v>10000</v>
      </c>
      <c r="M280" s="8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>
        <f t="shared" si="10"/>
        <v>10000</v>
      </c>
      <c r="AH280" s="7"/>
      <c r="AI280" s="7"/>
      <c r="AJ280" s="34"/>
    </row>
    <row r="281" spans="2:36" ht="50.45" customHeight="1" x14ac:dyDescent="0.2">
      <c r="B281" s="13" t="s">
        <v>523</v>
      </c>
      <c r="C281" s="15" t="s">
        <v>524</v>
      </c>
      <c r="D281" s="15">
        <v>3110</v>
      </c>
      <c r="E281" s="8"/>
      <c r="F281" s="59"/>
      <c r="G281" s="7"/>
      <c r="H281" s="33"/>
      <c r="I281" s="7"/>
      <c r="J281" s="7"/>
      <c r="K281" s="7"/>
      <c r="L281" s="7"/>
      <c r="M281" s="8"/>
      <c r="N281" s="7"/>
      <c r="O281" s="20" t="s">
        <v>525</v>
      </c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>
        <v>756</v>
      </c>
      <c r="AD281" s="7"/>
      <c r="AE281" s="7"/>
      <c r="AF281" s="7"/>
      <c r="AG281" s="7">
        <f t="shared" si="10"/>
        <v>954</v>
      </c>
      <c r="AH281" s="7"/>
      <c r="AI281" s="7"/>
      <c r="AJ281" s="58"/>
    </row>
    <row r="282" spans="2:36" ht="15.6" customHeight="1" x14ac:dyDescent="0.2">
      <c r="B282" s="65" t="s">
        <v>209</v>
      </c>
      <c r="C282" s="77"/>
      <c r="D282" s="3"/>
      <c r="E282" s="60">
        <f>SUM(E273:E277)</f>
        <v>0</v>
      </c>
      <c r="F282" s="60">
        <f>SUM(F277)</f>
        <v>0</v>
      </c>
      <c r="G282" s="60">
        <f>SUM(G277)</f>
        <v>0</v>
      </c>
      <c r="H282" s="3"/>
      <c r="I282" s="7"/>
      <c r="J282" s="7"/>
      <c r="K282" s="7"/>
      <c r="L282" s="7"/>
      <c r="M282" s="8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60">
        <f>SUM(AG276:AG281)</f>
        <v>94658.8</v>
      </c>
      <c r="AH282" s="7"/>
      <c r="AI282" s="7"/>
      <c r="AJ282" s="66"/>
    </row>
    <row r="283" spans="2:36" s="12" customFormat="1" ht="16.899999999999999" customHeight="1" x14ac:dyDescent="0.25">
      <c r="B283" s="138" t="s">
        <v>526</v>
      </c>
      <c r="C283" s="139"/>
      <c r="D283" s="139"/>
      <c r="E283" s="139"/>
      <c r="F283" s="139"/>
      <c r="G283" s="139"/>
      <c r="H283" s="32"/>
      <c r="I283" s="14"/>
      <c r="J283" s="14"/>
      <c r="K283" s="14"/>
      <c r="L283" s="16"/>
      <c r="M283" s="16"/>
      <c r="N283" s="16"/>
      <c r="O283" s="16"/>
      <c r="P283" s="16"/>
      <c r="Q283" s="16"/>
      <c r="R283" s="16"/>
      <c r="S283" s="16"/>
      <c r="T283" s="7"/>
      <c r="U283" s="7"/>
      <c r="V283" s="7"/>
      <c r="W283" s="7"/>
      <c r="X283" s="16"/>
      <c r="Y283" s="16"/>
      <c r="Z283" s="16"/>
      <c r="AA283" s="16"/>
      <c r="AB283" s="16"/>
      <c r="AC283" s="16"/>
      <c r="AD283" s="16"/>
      <c r="AE283" s="16"/>
      <c r="AF283" s="16"/>
      <c r="AG283" s="7"/>
      <c r="AH283" s="7"/>
      <c r="AI283" s="7"/>
      <c r="AJ283" s="80"/>
    </row>
    <row r="284" spans="2:36" ht="34.9" customHeight="1" x14ac:dyDescent="0.25">
      <c r="B284" s="13" t="s">
        <v>527</v>
      </c>
      <c r="C284" s="21" t="s">
        <v>524</v>
      </c>
      <c r="D284" s="21">
        <v>2210</v>
      </c>
      <c r="E284" s="7"/>
      <c r="F284" s="7">
        <v>2400</v>
      </c>
      <c r="G284" s="7">
        <f>E284+F284</f>
        <v>2400</v>
      </c>
      <c r="H284" s="7"/>
      <c r="I284" s="7"/>
      <c r="J284" s="7"/>
      <c r="K284" s="7"/>
      <c r="L284" s="8"/>
      <c r="M284" s="8"/>
      <c r="N284" s="7"/>
      <c r="O284" s="7"/>
      <c r="P284" s="7"/>
      <c r="Q284" s="7"/>
      <c r="R284" s="7"/>
      <c r="S284" s="7"/>
      <c r="T284" s="16"/>
      <c r="U284" s="16"/>
      <c r="V284" s="16"/>
      <c r="W284" s="16"/>
      <c r="X284" s="7"/>
      <c r="Y284" s="7"/>
      <c r="Z284" s="7"/>
      <c r="AA284" s="7"/>
      <c r="AB284" s="7"/>
      <c r="AC284" s="7"/>
      <c r="AD284" s="7"/>
      <c r="AE284" s="7"/>
      <c r="AF284" s="7"/>
      <c r="AG284" s="7">
        <f t="shared" ref="AG284:AG302" si="14">G284+I284+J284+K284+L284+M284+N284+O284+P284+Q284+R284+S284+T284+U284+V284+W284+X284+Y284+Z284+AA284+AB284+AC284+AD284+AE284+AF284</f>
        <v>2400</v>
      </c>
      <c r="AH284" s="7"/>
      <c r="AI284" s="7"/>
      <c r="AJ284" s="58" t="s">
        <v>380</v>
      </c>
    </row>
    <row r="285" spans="2:36" ht="187.15" customHeight="1" x14ac:dyDescent="0.2">
      <c r="B285" s="13" t="s">
        <v>46</v>
      </c>
      <c r="C285" s="21" t="s">
        <v>47</v>
      </c>
      <c r="D285" s="21">
        <v>2210</v>
      </c>
      <c r="E285" s="7"/>
      <c r="F285" s="7">
        <f>700.16+141.32</f>
        <v>841.48</v>
      </c>
      <c r="G285" s="7">
        <f t="shared" ref="G285" si="15">E285+F285</f>
        <v>841.48</v>
      </c>
      <c r="H285" s="7"/>
      <c r="I285" s="7"/>
      <c r="J285" s="7"/>
      <c r="K285" s="7"/>
      <c r="L285" s="8"/>
      <c r="M285" s="8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>
        <f t="shared" si="14"/>
        <v>841.48</v>
      </c>
      <c r="AH285" s="7"/>
      <c r="AI285" s="7"/>
      <c r="AJ285" s="58" t="s">
        <v>380</v>
      </c>
    </row>
    <row r="286" spans="2:36" s="2" customFormat="1" ht="15.6" customHeight="1" x14ac:dyDescent="0.2">
      <c r="B286" s="65" t="s">
        <v>435</v>
      </c>
      <c r="C286" s="3"/>
      <c r="D286" s="3"/>
      <c r="E286" s="60">
        <f>SUM(E284:E285)</f>
        <v>0</v>
      </c>
      <c r="F286" s="60">
        <f>SUM(F284:F285)</f>
        <v>3241.48</v>
      </c>
      <c r="G286" s="60">
        <f>SUM(G284:G285)</f>
        <v>3241.48</v>
      </c>
      <c r="H286" s="3"/>
      <c r="I286" s="7"/>
      <c r="J286" s="7"/>
      <c r="K286" s="7"/>
      <c r="L286" s="8"/>
      <c r="M286" s="8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60">
        <f>SUM(AG284:AG285)</f>
        <v>3241.48</v>
      </c>
      <c r="AH286" s="7"/>
      <c r="AI286" s="7"/>
      <c r="AJ286" s="66"/>
    </row>
    <row r="287" spans="2:36" ht="35.450000000000003" customHeight="1" x14ac:dyDescent="0.2">
      <c r="B287" s="13" t="s">
        <v>527</v>
      </c>
      <c r="C287" s="15" t="s">
        <v>524</v>
      </c>
      <c r="D287" s="21">
        <v>2240</v>
      </c>
      <c r="E287" s="7"/>
      <c r="F287" s="7">
        <f>520+81.97</f>
        <v>601.97</v>
      </c>
      <c r="G287" s="7">
        <f>E287+F287</f>
        <v>601.97</v>
      </c>
      <c r="H287" s="7"/>
      <c r="I287" s="7"/>
      <c r="J287" s="7"/>
      <c r="K287" s="7"/>
      <c r="L287" s="8"/>
      <c r="M287" s="8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>
        <f t="shared" si="14"/>
        <v>601.97</v>
      </c>
      <c r="AH287" s="7"/>
      <c r="AI287" s="7"/>
      <c r="AJ287" s="58" t="s">
        <v>380</v>
      </c>
    </row>
    <row r="288" spans="2:36" ht="85.15" customHeight="1" x14ac:dyDescent="0.2">
      <c r="B288" s="13" t="s">
        <v>528</v>
      </c>
      <c r="C288" s="15" t="s">
        <v>519</v>
      </c>
      <c r="D288" s="21">
        <v>2240</v>
      </c>
      <c r="E288" s="7"/>
      <c r="F288" s="7">
        <v>250</v>
      </c>
      <c r="G288" s="7">
        <f>E288+F288</f>
        <v>250</v>
      </c>
      <c r="H288" s="7"/>
      <c r="I288" s="7"/>
      <c r="J288" s="7"/>
      <c r="K288" s="7"/>
      <c r="L288" s="8"/>
      <c r="M288" s="8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>
        <f t="shared" si="14"/>
        <v>250</v>
      </c>
      <c r="AH288" s="7"/>
      <c r="AI288" s="7"/>
      <c r="AJ288" s="58" t="s">
        <v>380</v>
      </c>
    </row>
    <row r="289" spans="1:36" s="2" customFormat="1" ht="15.6" customHeight="1" x14ac:dyDescent="0.2">
      <c r="B289" s="65" t="s">
        <v>529</v>
      </c>
      <c r="C289" s="3"/>
      <c r="D289" s="3"/>
      <c r="E289" s="60">
        <f>SUM(E287:E288)</f>
        <v>0</v>
      </c>
      <c r="F289" s="60">
        <f>SUM(F287:F288)</f>
        <v>851.97</v>
      </c>
      <c r="G289" s="60">
        <f>SUM(G287:G288)</f>
        <v>851.97</v>
      </c>
      <c r="H289" s="3"/>
      <c r="I289" s="7"/>
      <c r="J289" s="7"/>
      <c r="K289" s="7"/>
      <c r="L289" s="8"/>
      <c r="M289" s="8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60">
        <f>SUM(AG287:AG288)</f>
        <v>851.97</v>
      </c>
      <c r="AH289" s="7"/>
      <c r="AI289" s="7"/>
      <c r="AJ289" s="66"/>
    </row>
    <row r="290" spans="1:36" ht="187.15" customHeight="1" x14ac:dyDescent="0.2">
      <c r="B290" s="13" t="s">
        <v>46</v>
      </c>
      <c r="C290" s="15" t="s">
        <v>47</v>
      </c>
      <c r="D290" s="21">
        <v>2210</v>
      </c>
      <c r="E290" s="7">
        <v>5000</v>
      </c>
      <c r="F290" s="7"/>
      <c r="G290" s="7">
        <f>E290+F290</f>
        <v>5000</v>
      </c>
      <c r="H290" s="8"/>
      <c r="I290" s="8"/>
      <c r="J290" s="8"/>
      <c r="K290" s="8"/>
      <c r="L290" s="8"/>
      <c r="M290" s="8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>
        <f t="shared" si="14"/>
        <v>5000</v>
      </c>
      <c r="AH290" s="7"/>
      <c r="AI290" s="7"/>
      <c r="AJ290" s="81"/>
    </row>
    <row r="291" spans="1:36" ht="78" customHeight="1" x14ac:dyDescent="0.2">
      <c r="B291" s="13" t="s">
        <v>41</v>
      </c>
      <c r="C291" s="15" t="s">
        <v>249</v>
      </c>
      <c r="D291" s="21">
        <v>2210</v>
      </c>
      <c r="E291" s="7">
        <v>5000</v>
      </c>
      <c r="F291" s="7"/>
      <c r="G291" s="7">
        <f t="shared" ref="G291" si="16">E291+F291</f>
        <v>5000</v>
      </c>
      <c r="H291" s="7"/>
      <c r="I291" s="7"/>
      <c r="J291" s="7"/>
      <c r="K291" s="7"/>
      <c r="L291" s="8"/>
      <c r="M291" s="8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>
        <f t="shared" si="14"/>
        <v>5000</v>
      </c>
      <c r="AH291" s="7"/>
      <c r="AI291" s="7"/>
      <c r="AJ291" s="58"/>
    </row>
    <row r="292" spans="1:36" ht="31.15" customHeight="1" x14ac:dyDescent="0.2">
      <c r="B292" s="13" t="s">
        <v>77</v>
      </c>
      <c r="C292" s="15" t="s">
        <v>78</v>
      </c>
      <c r="D292" s="21">
        <v>2210</v>
      </c>
      <c r="E292" s="7">
        <f>12000+3000</f>
        <v>15000</v>
      </c>
      <c r="F292" s="8"/>
      <c r="G292" s="7">
        <f>E292+F292</f>
        <v>15000</v>
      </c>
      <c r="H292" s="8"/>
      <c r="I292" s="60"/>
      <c r="J292" s="7"/>
      <c r="K292" s="7"/>
      <c r="L292" s="7"/>
      <c r="M292" s="9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>
        <f t="shared" si="14"/>
        <v>15000</v>
      </c>
      <c r="AH292" s="7"/>
      <c r="AI292" s="7"/>
      <c r="AJ292" s="81"/>
    </row>
    <row r="293" spans="1:36" ht="15.6" customHeight="1" x14ac:dyDescent="0.2">
      <c r="B293" s="13" t="s">
        <v>81</v>
      </c>
      <c r="C293" s="15" t="s">
        <v>82</v>
      </c>
      <c r="D293" s="21">
        <v>2210</v>
      </c>
      <c r="E293" s="7">
        <v>15000</v>
      </c>
      <c r="F293" s="7"/>
      <c r="G293" s="7">
        <f t="shared" ref="G293:G296" si="17">E293+F293</f>
        <v>15000</v>
      </c>
      <c r="H293" s="3"/>
      <c r="I293" s="7"/>
      <c r="J293" s="7"/>
      <c r="K293" s="7"/>
      <c r="L293" s="7"/>
      <c r="M293" s="9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>
        <f t="shared" si="14"/>
        <v>15000</v>
      </c>
      <c r="AH293" s="7"/>
      <c r="AI293" s="7"/>
      <c r="AJ293" s="66"/>
    </row>
    <row r="294" spans="1:36" s="2" customFormat="1" ht="31.15" customHeight="1" x14ac:dyDescent="0.2">
      <c r="B294" s="13" t="s">
        <v>366</v>
      </c>
      <c r="C294" s="15" t="s">
        <v>367</v>
      </c>
      <c r="D294" s="21">
        <v>2210</v>
      </c>
      <c r="E294" s="7">
        <v>20000</v>
      </c>
      <c r="F294" s="8"/>
      <c r="G294" s="7">
        <f t="shared" si="17"/>
        <v>20000</v>
      </c>
      <c r="H294" s="8"/>
      <c r="I294" s="82"/>
      <c r="J294" s="8"/>
      <c r="K294" s="8"/>
      <c r="L294" s="8"/>
      <c r="M294" s="8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>
        <f t="shared" si="14"/>
        <v>20000</v>
      </c>
      <c r="AH294" s="7"/>
      <c r="AI294" s="7"/>
      <c r="AJ294" s="81"/>
    </row>
    <row r="295" spans="1:36" ht="41.25" customHeight="1" x14ac:dyDescent="0.2">
      <c r="B295" s="13" t="s">
        <v>527</v>
      </c>
      <c r="C295" s="15" t="s">
        <v>524</v>
      </c>
      <c r="D295" s="21">
        <v>2210</v>
      </c>
      <c r="E295" s="7">
        <v>5000</v>
      </c>
      <c r="F295" s="8"/>
      <c r="G295" s="7">
        <f t="shared" si="17"/>
        <v>5000</v>
      </c>
      <c r="H295" s="8"/>
      <c r="I295" s="8"/>
      <c r="J295" s="8"/>
      <c r="K295" s="8"/>
      <c r="L295" s="8"/>
      <c r="M295" s="8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>
        <f t="shared" si="14"/>
        <v>5000</v>
      </c>
      <c r="AH295" s="7"/>
      <c r="AI295" s="7"/>
      <c r="AJ295" s="81"/>
    </row>
    <row r="296" spans="1:36" ht="31.15" customHeight="1" x14ac:dyDescent="0.2">
      <c r="B296" s="13" t="s">
        <v>373</v>
      </c>
      <c r="C296" s="15" t="s">
        <v>374</v>
      </c>
      <c r="D296" s="21">
        <v>2210</v>
      </c>
      <c r="E296" s="7">
        <v>5000</v>
      </c>
      <c r="F296" s="8"/>
      <c r="G296" s="7">
        <f t="shared" si="17"/>
        <v>5000</v>
      </c>
      <c r="H296" s="8"/>
      <c r="I296" s="8"/>
      <c r="J296" s="8"/>
      <c r="K296" s="8"/>
      <c r="L296" s="8"/>
      <c r="M296" s="8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>
        <f t="shared" si="14"/>
        <v>5000</v>
      </c>
      <c r="AH296" s="7"/>
      <c r="AI296" s="7"/>
      <c r="AJ296" s="81"/>
    </row>
    <row r="297" spans="1:36" s="2" customFormat="1" ht="15.6" customHeight="1" x14ac:dyDescent="0.2">
      <c r="B297" s="83" t="s">
        <v>435</v>
      </c>
      <c r="C297" s="84"/>
      <c r="D297" s="4"/>
      <c r="E297" s="60">
        <f>SUM(E290:E296)</f>
        <v>70000</v>
      </c>
      <c r="F297" s="60"/>
      <c r="G297" s="60">
        <f t="shared" ref="G297" si="18">SUM(G290:G296)</f>
        <v>70000</v>
      </c>
      <c r="H297" s="8"/>
      <c r="I297" s="82"/>
      <c r="J297" s="8"/>
      <c r="K297" s="8"/>
      <c r="L297" s="8"/>
      <c r="M297" s="8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60">
        <f>SUM(AG290:AG296)</f>
        <v>70000</v>
      </c>
      <c r="AH297" s="7"/>
      <c r="AI297" s="7"/>
      <c r="AJ297" s="81"/>
    </row>
    <row r="298" spans="1:36" ht="15.6" customHeight="1" x14ac:dyDescent="0.2">
      <c r="B298" s="13" t="s">
        <v>530</v>
      </c>
      <c r="C298" s="15" t="s">
        <v>531</v>
      </c>
      <c r="D298" s="21">
        <v>2240</v>
      </c>
      <c r="E298" s="7">
        <v>15000</v>
      </c>
      <c r="F298" s="8"/>
      <c r="G298" s="7">
        <f>E298+F298</f>
        <v>15000</v>
      </c>
      <c r="H298" s="8"/>
      <c r="I298" s="8"/>
      <c r="J298" s="8"/>
      <c r="K298" s="8"/>
      <c r="L298" s="8"/>
      <c r="M298" s="8"/>
      <c r="N298" s="7"/>
      <c r="O298" s="7"/>
      <c r="P298" s="7"/>
      <c r="Q298" s="7"/>
      <c r="R298" s="7"/>
      <c r="S298" s="7"/>
      <c r="T298" s="7">
        <v>-6080</v>
      </c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>
        <f t="shared" si="14"/>
        <v>8920</v>
      </c>
      <c r="AH298" s="7"/>
      <c r="AI298" s="7"/>
      <c r="AJ298" s="81"/>
    </row>
    <row r="299" spans="1:36" ht="33.6" customHeight="1" x14ac:dyDescent="0.2">
      <c r="B299" s="19" t="s">
        <v>58</v>
      </c>
      <c r="C299" s="15" t="s">
        <v>59</v>
      </c>
      <c r="D299" s="15">
        <v>2240</v>
      </c>
      <c r="E299" s="7"/>
      <c r="F299" s="8"/>
      <c r="G299" s="7"/>
      <c r="H299" s="8"/>
      <c r="I299" s="8"/>
      <c r="J299" s="8"/>
      <c r="K299" s="8"/>
      <c r="L299" s="8"/>
      <c r="M299" s="8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>
        <v>2400</v>
      </c>
      <c r="Z299" s="7"/>
      <c r="AA299" s="7"/>
      <c r="AB299" s="7"/>
      <c r="AC299" s="7"/>
      <c r="AD299" s="7"/>
      <c r="AE299" s="7"/>
      <c r="AF299" s="7"/>
      <c r="AG299" s="7">
        <f t="shared" si="14"/>
        <v>2400</v>
      </c>
      <c r="AH299" s="7"/>
      <c r="AI299" s="7"/>
      <c r="AJ299" s="81"/>
    </row>
    <row r="300" spans="1:36" ht="46.9" customHeight="1" x14ac:dyDescent="0.2">
      <c r="B300" s="13" t="s">
        <v>170</v>
      </c>
      <c r="C300" s="15" t="s">
        <v>171</v>
      </c>
      <c r="D300" s="21">
        <v>2240</v>
      </c>
      <c r="E300" s="7">
        <v>10000</v>
      </c>
      <c r="F300" s="8"/>
      <c r="G300" s="7">
        <f>E300+F300</f>
        <v>10000</v>
      </c>
      <c r="H300" s="8"/>
      <c r="I300" s="8"/>
      <c r="J300" s="8"/>
      <c r="K300" s="8"/>
      <c r="L300" s="8"/>
      <c r="M300" s="8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>
        <f t="shared" si="14"/>
        <v>10000</v>
      </c>
      <c r="AH300" s="7"/>
      <c r="AI300" s="7"/>
      <c r="AJ300" s="81"/>
    </row>
    <row r="301" spans="1:36" ht="16.899999999999999" customHeight="1" x14ac:dyDescent="0.2">
      <c r="B301" s="13" t="s">
        <v>175</v>
      </c>
      <c r="C301" s="15" t="s">
        <v>532</v>
      </c>
      <c r="D301" s="15">
        <v>2240</v>
      </c>
      <c r="E301" s="7"/>
      <c r="F301" s="8"/>
      <c r="G301" s="7"/>
      <c r="H301" s="8"/>
      <c r="I301" s="8"/>
      <c r="J301" s="8"/>
      <c r="K301" s="8"/>
      <c r="L301" s="8"/>
      <c r="M301" s="8"/>
      <c r="N301" s="7"/>
      <c r="O301" s="7"/>
      <c r="P301" s="7"/>
      <c r="Q301" s="7"/>
      <c r="R301" s="7"/>
      <c r="S301" s="7"/>
      <c r="T301" s="7">
        <v>6080</v>
      </c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>
        <f t="shared" si="14"/>
        <v>6080</v>
      </c>
      <c r="AH301" s="7"/>
      <c r="AI301" s="7"/>
      <c r="AJ301" s="81"/>
    </row>
    <row r="302" spans="1:36" ht="39" customHeight="1" x14ac:dyDescent="0.2">
      <c r="B302" s="13" t="s">
        <v>177</v>
      </c>
      <c r="C302" s="15" t="s">
        <v>178</v>
      </c>
      <c r="D302" s="21">
        <v>2240</v>
      </c>
      <c r="E302" s="7">
        <v>5000</v>
      </c>
      <c r="F302" s="8"/>
      <c r="G302" s="7">
        <f t="shared" ref="G302" si="19">E302+F302</f>
        <v>5000</v>
      </c>
      <c r="H302" s="8"/>
      <c r="I302" s="8"/>
      <c r="J302" s="8"/>
      <c r="K302" s="8"/>
      <c r="L302" s="8"/>
      <c r="M302" s="8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>
        <f t="shared" si="14"/>
        <v>5000</v>
      </c>
      <c r="AH302" s="7"/>
      <c r="AI302" s="7"/>
      <c r="AJ302" s="81"/>
    </row>
    <row r="303" spans="1:36" s="2" customFormat="1" ht="19.149999999999999" customHeight="1" thickBot="1" x14ac:dyDescent="0.25">
      <c r="B303" s="85" t="s">
        <v>529</v>
      </c>
      <c r="C303" s="86"/>
      <c r="D303" s="87"/>
      <c r="E303" s="88">
        <f>SUM(E298:E302)</f>
        <v>30000</v>
      </c>
      <c r="F303" s="88"/>
      <c r="G303" s="88">
        <f t="shared" ref="G303" si="20">SUM(G298:G302)</f>
        <v>30000</v>
      </c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8"/>
      <c r="V303" s="88"/>
      <c r="W303" s="88"/>
      <c r="X303" s="88"/>
      <c r="Y303" s="88"/>
      <c r="Z303" s="88"/>
      <c r="AA303" s="88"/>
      <c r="AB303" s="88"/>
      <c r="AC303" s="88"/>
      <c r="AD303" s="88"/>
      <c r="AE303" s="88"/>
      <c r="AF303" s="88"/>
      <c r="AG303" s="88">
        <f>SUM(AG298:AG302)</f>
        <v>32400</v>
      </c>
      <c r="AH303" s="89"/>
      <c r="AI303" s="89"/>
      <c r="AJ303" s="90"/>
    </row>
    <row r="304" spans="1:36" ht="35.450000000000003" customHeight="1" x14ac:dyDescent="0.2">
      <c r="A304" s="2"/>
      <c r="B304" s="122" t="s">
        <v>533</v>
      </c>
      <c r="C304" s="122"/>
      <c r="D304" s="122"/>
      <c r="E304" s="122"/>
      <c r="F304" s="122"/>
      <c r="G304" s="122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  <c r="AB304" s="122"/>
      <c r="AC304" s="122"/>
      <c r="AD304" s="122"/>
      <c r="AE304" s="122"/>
      <c r="AF304" s="122"/>
      <c r="AG304" s="122"/>
      <c r="AH304" s="122"/>
      <c r="AI304" s="122"/>
      <c r="AJ304" s="41"/>
    </row>
    <row r="305" spans="2:36" ht="31.15" customHeight="1" x14ac:dyDescent="0.25">
      <c r="B305" s="42" t="s">
        <v>211</v>
      </c>
      <c r="C305" s="42"/>
      <c r="D305" s="123" t="s">
        <v>212</v>
      </c>
      <c r="E305" s="123"/>
      <c r="F305" s="123"/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3"/>
      <c r="T305" s="123"/>
      <c r="U305" s="123"/>
      <c r="V305" s="123"/>
      <c r="W305" s="123"/>
      <c r="X305" s="123"/>
      <c r="Y305" s="123"/>
      <c r="Z305" s="123"/>
      <c r="AA305" s="123"/>
      <c r="AB305" s="123"/>
      <c r="AC305" s="123"/>
      <c r="AD305" s="123"/>
      <c r="AE305" s="123"/>
      <c r="AF305" s="123"/>
      <c r="AG305" s="123"/>
      <c r="AH305" s="41"/>
      <c r="AI305" s="41"/>
      <c r="AJ305" s="41"/>
    </row>
    <row r="306" spans="2:36" ht="15.75" x14ac:dyDescent="0.25">
      <c r="B306" s="46"/>
      <c r="C306" s="46"/>
      <c r="D306" s="47" t="s">
        <v>214</v>
      </c>
      <c r="E306" s="48"/>
      <c r="F306" s="46"/>
      <c r="G306" s="49" t="s">
        <v>215</v>
      </c>
      <c r="H306" s="49"/>
      <c r="I306" s="50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1"/>
      <c r="AH306" s="41"/>
      <c r="AI306" s="41"/>
      <c r="AJ306" s="41"/>
    </row>
    <row r="307" spans="2:36" ht="36" customHeight="1" x14ac:dyDescent="0.25">
      <c r="B307" s="42" t="s">
        <v>534</v>
      </c>
      <c r="C307" s="42"/>
      <c r="D307" s="123" t="s">
        <v>535</v>
      </c>
      <c r="E307" s="123"/>
      <c r="F307" s="123"/>
      <c r="G307" s="123"/>
      <c r="H307" s="123"/>
      <c r="I307" s="123"/>
      <c r="J307" s="123"/>
      <c r="K307" s="123"/>
      <c r="L307" s="123"/>
      <c r="M307" s="123"/>
      <c r="N307" s="123"/>
      <c r="O307" s="123"/>
      <c r="P307" s="123"/>
      <c r="Q307" s="123"/>
      <c r="R307" s="123"/>
      <c r="S307" s="123"/>
      <c r="T307" s="123"/>
      <c r="U307" s="123"/>
      <c r="V307" s="123"/>
      <c r="W307" s="123"/>
      <c r="X307" s="123"/>
      <c r="Y307" s="123"/>
      <c r="Z307" s="123"/>
      <c r="AA307" s="123"/>
      <c r="AB307" s="123"/>
      <c r="AC307" s="123"/>
      <c r="AD307" s="123"/>
      <c r="AE307" s="123"/>
      <c r="AF307" s="123"/>
      <c r="AG307" s="123"/>
      <c r="AH307" s="41"/>
      <c r="AI307" s="41"/>
      <c r="AJ307" s="41"/>
    </row>
    <row r="308" spans="2:36" ht="10.9" customHeight="1" x14ac:dyDescent="0.25">
      <c r="B308" s="2"/>
      <c r="C308" s="2"/>
      <c r="D308" s="47" t="s">
        <v>214</v>
      </c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  <c r="AB308" s="47"/>
      <c r="AC308" s="47"/>
      <c r="AD308" s="47"/>
      <c r="AE308" s="47"/>
      <c r="AF308" s="47"/>
      <c r="AG308" s="47"/>
      <c r="AH308" s="41"/>
      <c r="AI308" s="41"/>
      <c r="AJ308" s="41"/>
    </row>
    <row r="309" spans="2:36" ht="3" customHeight="1" x14ac:dyDescent="0.2">
      <c r="B309" s="52"/>
      <c r="C309" s="52"/>
      <c r="D309" s="53"/>
      <c r="E309" s="2"/>
      <c r="F309" s="54"/>
      <c r="G309" s="54"/>
      <c r="H309" s="5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41"/>
      <c r="AH309" s="41"/>
      <c r="AI309" s="41"/>
      <c r="AJ309" s="41"/>
    </row>
    <row r="310" spans="2:36" ht="28.9" customHeight="1" x14ac:dyDescent="0.2">
      <c r="B310" s="52"/>
      <c r="C310" s="52"/>
      <c r="D310" s="55"/>
      <c r="E310" s="56">
        <f>SUM(G10:G88)+G192+G219+SUM(G221:G250)+G297+G303</f>
        <v>1934127.2529000002</v>
      </c>
      <c r="F310" s="54"/>
      <c r="G310" s="57"/>
      <c r="H310" s="5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41"/>
      <c r="AH310" s="41"/>
      <c r="AI310" s="41"/>
      <c r="AJ310" s="41"/>
    </row>
    <row r="311" spans="2:36" ht="28.9" customHeight="1" x14ac:dyDescent="0.2">
      <c r="B311" s="52"/>
      <c r="C311" s="52"/>
      <c r="D311" s="53"/>
      <c r="E311" s="2"/>
      <c r="F311" s="54"/>
      <c r="G311" s="54"/>
      <c r="H311" s="5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41">
        <f>SUM(AG8:AG88)+AG192+AG219+SUM(AG220:AG251)+AG269+AG270+AG275+AG282+AG297+AG303</f>
        <v>2513036.4228999997</v>
      </c>
      <c r="AH311" s="41"/>
      <c r="AI311" s="41"/>
      <c r="AJ311" s="41"/>
    </row>
    <row r="312" spans="2:36" ht="28.9" customHeight="1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41"/>
      <c r="AH312" s="41"/>
      <c r="AI312" s="41"/>
      <c r="AJ312" s="41"/>
    </row>
    <row r="313" spans="2:36" ht="28.9" customHeight="1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41"/>
      <c r="AH313" s="41"/>
      <c r="AI313" s="41"/>
      <c r="AJ313" s="41"/>
    </row>
    <row r="314" spans="2:36" ht="38.25" customHeight="1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41"/>
      <c r="AH314" s="41"/>
      <c r="AI314" s="41"/>
      <c r="AJ314" s="41"/>
    </row>
    <row r="315" spans="2:36" ht="38.25" customHeight="1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41"/>
      <c r="AH315" s="41"/>
      <c r="AI315" s="41"/>
      <c r="AJ315" s="41"/>
    </row>
    <row r="316" spans="2:36" ht="38.25" customHeight="1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41"/>
      <c r="AH316" s="41"/>
      <c r="AI316" s="41"/>
      <c r="AJ316" s="41"/>
    </row>
    <row r="317" spans="2:36" ht="38.25" customHeight="1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41"/>
      <c r="AH317" s="41"/>
      <c r="AI317" s="41"/>
      <c r="AJ317" s="41"/>
    </row>
    <row r="318" spans="2:36" ht="38.25" customHeight="1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</row>
  </sheetData>
  <mergeCells count="43">
    <mergeCell ref="B304:AI304"/>
    <mergeCell ref="D305:AG305"/>
    <mergeCell ref="D307:AG307"/>
    <mergeCell ref="AI4:AI5"/>
    <mergeCell ref="AJ4:AJ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AM5:AM6"/>
    <mergeCell ref="B6:C6"/>
    <mergeCell ref="B7:H7"/>
    <mergeCell ref="B283:G283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P4:P5"/>
    <mergeCell ref="A1:AJ1"/>
    <mergeCell ref="A2:AJ2"/>
    <mergeCell ref="A3:AJ3"/>
    <mergeCell ref="B4:C5"/>
    <mergeCell ref="D4:D5"/>
    <mergeCell ref="E4:F4"/>
    <mergeCell ref="G4:G5"/>
    <mergeCell ref="H4:H5"/>
    <mergeCell ref="I4:I5"/>
    <mergeCell ref="J4:J5"/>
  </mergeCells>
  <hyperlinks>
    <hyperlink ref="B227" r:id="rId1" display="http://dk16.dovidnyk.info/index.php?rozd=16868"/>
    <hyperlink ref="B229" r:id="rId2" display="http://dk16.dovidnyk.info/index.php?rozd=16953"/>
    <hyperlink ref="B218" r:id="rId3" display="http://dk16.dovidnyk.info/index.php?rozd=9872"/>
    <hyperlink ref="C236" r:id="rId4" display="http://dk16.dovidnyk.info/index.php?rozd=19731"/>
    <hyperlink ref="C249" r:id="rId5" display="http://dk16.dovidnyk.info/index.php?rozd=21156"/>
    <hyperlink ref="C246" r:id="rId6" display="http://dk16.dovidnyk.info/index.php?rozd=20759"/>
    <hyperlink ref="C250" r:id="rId7" display="http://dk16.dovidnyk.info/index.php?rozd=21201"/>
    <hyperlink ref="C239" r:id="rId8" display="http://dk16.dovidnyk.info/index.php?rozd=19859"/>
    <hyperlink ref="C238" r:id="rId9" display="http://dk16.dovidnyk.info/index.php?rozd=19816"/>
    <hyperlink ref="C227" r:id="rId10" display="http://dk16.dovidnyk.info/index.php?rozd=16868"/>
    <hyperlink ref="C245" r:id="rId11" display="http://dk16.dovidnyk.info/index.php?rozd=20630"/>
    <hyperlink ref="C229" r:id="rId12" display="http://dk16.dovidnyk.info/index.php?rozd=16953"/>
    <hyperlink ref="C242" r:id="rId13" display="http://dk16.dovidnyk.info/index.php?rozd=20211"/>
    <hyperlink ref="C241" r:id="rId14" display="http://dk16.dovidnyk.info/index.php?rozd=19868"/>
    <hyperlink ref="C232" r:id="rId15" display="http://dk16.dovidnyk.info/index.php?rozd=19647"/>
    <hyperlink ref="B232" r:id="rId16" display="http://dk16.dovidnyk.info/index.php?rozd=19647"/>
    <hyperlink ref="C233" r:id="rId17" display="http://dk16.dovidnyk.info/index.php?rozd=19660"/>
    <hyperlink ref="B233" r:id="rId18" display="http://dk16.dovidnyk.info/index.php?rozd=19660"/>
    <hyperlink ref="C226" r:id="rId19" display="http://dk16.dovidnyk.info/index.php?rozd=16838"/>
    <hyperlink ref="B226" r:id="rId20" display="http://dk16.dovidnyk.info/index.php?rozd=16838"/>
    <hyperlink ref="B22" r:id="rId21" display="http://dkpp.rv.ua/index.php?level=20.11.1"/>
    <hyperlink ref="C284" r:id="rId22" display="http://dk16.dovidnyk.info/index.php?rozd=19408"/>
    <hyperlink ref="B284" r:id="rId23" display="http://dk16.dovidnyk.info/index.php?rozd=19408"/>
    <hyperlink ref="B234" r:id="rId24" display="http://dkpp.rv.ua/index.php?level=62.01.11"/>
    <hyperlink ref="B245" r:id="rId25" display="http://dk16.dovidnyk.info/index.php?rozd=20630"/>
    <hyperlink ref="B272" r:id="rId26" display="http://dkpp.rv.ua/index.php?level=85.59.1"/>
    <hyperlink ref="B93" r:id="rId27" display="http://dkpp.rv.ua/index.php?level=15.20.3"/>
    <hyperlink ref="B95" r:id="rId28" display="http://dkpp.rv.ua/index.php?level=17.12.7"/>
    <hyperlink ref="B103" r:id="rId29" display="http://dkpp.rv.ua/index.php?level=20.14.3"/>
    <hyperlink ref="B108" r:id="rId30" display="http://dkpp.rv.ua/index.php?level=20.30.2"/>
    <hyperlink ref="B112" r:id="rId31" display="http://dkpp.rv.ua/index.php?level=20.60.1"/>
    <hyperlink ref="B116" r:id="rId32" display="http://dkpp.rv.ua/index.php?level=22.19.2"/>
    <hyperlink ref="B118" r:id="rId33" display="http://dkpp.rv.ua/index.php?level=22.19.6"/>
    <hyperlink ref="B119" r:id="rId34" display="http://dkpp.rv.ua/index.php?level=22.19.7"/>
    <hyperlink ref="B120" r:id="rId35" display="http://dkpp.rv.ua/index.php?level=22.23.1"/>
    <hyperlink ref="B123" r:id="rId36" display="http://dkpp.rv.ua/index.php?level=24.20.3"/>
    <hyperlink ref="B128" r:id="rId37" display="http://dkpp.rv.ua/index.php?level=25.73.4"/>
    <hyperlink ref="B131" r:id="rId38" display="http://dkpp.rv.ua/index.php?level=26.12.2"/>
    <hyperlink ref="B132" r:id="rId39" display="http://dkpp.rv.ua/index.php?level=26.40.3"/>
    <hyperlink ref="B133" r:id="rId40" display="http://dkpp.rv.ua/index.php?level=26.52.1"/>
    <hyperlink ref="B134" r:id="rId41" display="http://dkpp.rv.ua/index.php?level=27.12.1"/>
    <hyperlink ref="B142" r:id="rId42" display="http://dkpp.rv.ua/index.php?level=28.22.1"/>
    <hyperlink ref="B143" r:id="rId43" display="http://dkpp.rv.ua/index.php?level=28.29.1"/>
    <hyperlink ref="B147" r:id="rId44" display="http://dkpp.rv.ua/index.php?level=32.50.1"/>
    <hyperlink ref="B149" r:id="rId45" display="http://dkpp.rv.ua/index.php?level=32.91.1"/>
    <hyperlink ref="B139" r:id="rId46" display="http://dkpp.rv.ua/index.php?level=27.51.1"/>
    <hyperlink ref="B124" r:id="rId47" display="http://dkpp.rv.ua/index.php?level=25.29.1"/>
    <hyperlink ref="B97" r:id="rId48" display="http://dkpp.rv.ua/index.php?level=17.29.1"/>
    <hyperlink ref="B145" r:id="rId49" display="http://dkpp.rv.ua/index.php?level=29.32.2"/>
    <hyperlink ref="B148" r:id="rId50" display="http://dkpp.rv.ua/index.php?level=32.50.4"/>
    <hyperlink ref="B106" r:id="rId51" display="http://dkpp.rv.ua/index.php?level=20.15.3"/>
    <hyperlink ref="C265" r:id="rId52" display="http://dk16.dovidnyk.info/index.php?rozd=21156"/>
    <hyperlink ref="C252" r:id="rId53" display="http://dk16.dovidnyk.info/index.php?rozd=484"/>
    <hyperlink ref="C261" r:id="rId54" display="http://dk16.dovidnyk.info/index.php?rozd=20211"/>
    <hyperlink ref="C256" r:id="rId55" display="http://dk16.dovidnyk.info/index.php?rozd=16838"/>
    <hyperlink ref="B256" r:id="rId56" display="http://dk16.dovidnyk.info/index.php?rozd=16838"/>
    <hyperlink ref="B260" r:id="rId57" display="http://dk16.dovidnyk.info/index.php?rozd=19753"/>
    <hyperlink ref="B253" r:id="rId58" display="http://dk16.dovidnyk.info/index.php?rozd=14751"/>
    <hyperlink ref="B262" r:id="rId59" display="http://dkpp.rv.ua/index.php?level=74.90.1"/>
    <hyperlink ref="B248" r:id="rId60" display="http://dkpp.rv.ua/index.php?level=86.90.1"/>
    <hyperlink ref="B263" r:id="rId61" display="http://dkpp.rv.ua/index.php?level=86.10.1"/>
    <hyperlink ref="C254" r:id="rId62" display="http://dk16.dovidnyk.info/index.php?rozd=14797"/>
    <hyperlink ref="B254" r:id="rId63" display="http://dk16.dovidnyk.info/index.php?rozd=14793"/>
    <hyperlink ref="B257" r:id="rId64" display="http://dkpp.rv.ua/index.php?level=38.12.1"/>
    <hyperlink ref="B288" r:id="rId65" display="http://dkpp.rv.ua/index.php?level=84.12.1"/>
    <hyperlink ref="B264" r:id="rId66" display="http://dkpp.rv.ua/index.php?level=86.90.1"/>
    <hyperlink ref="C255" r:id="rId67" display="http://dk16.dovidnyk.info/index.php?rozd=14797"/>
    <hyperlink ref="B255" r:id="rId68" display="http://dk16.dovidnyk.info/index.php?rozd=14793"/>
    <hyperlink ref="C287" r:id="rId69" display="http://dk16.dovidnyk.info/index.php?rozd=19408"/>
    <hyperlink ref="B287" r:id="rId70" display="http://dk16.dovidnyk.info/index.php?rozd=19408"/>
    <hyperlink ref="B191" r:id="rId71" display="http://dkpp.rv.ua/index.php?level=32.50.5"/>
    <hyperlink ref="B271" r:id="rId72" display="http://dk16.dovidnyk.info/index.php?rozd=9872"/>
    <hyperlink ref="C271" r:id="rId73" display="http://dk16.dovidnyk.info/index.php?rozd=9694"/>
    <hyperlink ref="B270" r:id="rId74" display="http://dk16.dovidnyk.info/index.php?rozd=9872"/>
    <hyperlink ref="C270" r:id="rId75" display="http://dk16.dovidnyk.info/index.php?rozd=9694"/>
    <hyperlink ref="B135" r:id="rId76" display="http://dkpp.rv.ua/index.php?level=27.32.1"/>
    <hyperlink ref="F104" r:id="rId77" display="http://dkpp.rv.ua/index.php?level=20.14.4"/>
    <hyperlink ref="B104" r:id="rId78" display="http://dkpp.rv.ua/index.php?level=20.14.4"/>
    <hyperlink ref="B216" r:id="rId79" display="http://dkpp.rv.ua/index.php?level=10.86.1"/>
    <hyperlink ref="B187" r:id="rId80" display="http://dkpp.rv.ua/index.php?level=26.51.5"/>
    <hyperlink ref="B204" r:id="rId81" display="http://dkpp.rv.ua/index.php?level=10.51.3"/>
    <hyperlink ref="B298" r:id="rId82" display="http://dkpp.rv.ua/index.php?level=18.12.1"/>
    <hyperlink ref="B295" r:id="rId83" display="http://dk16.dovidnyk.info/index.php?rozd=19408"/>
    <hyperlink ref="C295" r:id="rId84" display="http://dk16.dovidnyk.info/index.php?rozd=19408"/>
    <hyperlink ref="C294" r:id="rId85" display="http://dk16.dovidnyk.info/index.php?rozd=12291"/>
    <hyperlink ref="C302" r:id="rId86" display="http://dk16.dovidnyk.info/index.php?rozd=19816"/>
    <hyperlink ref="C300" r:id="rId87" display="http://dk16.dovidnyk.info/index.php?rozd=19731"/>
    <hyperlink ref="C298" r:id="rId88" display="http://dk16.dovidnyk.info/index.php?rozd=19816"/>
    <hyperlink ref="B294" r:id="rId89" display="http://dkpp.rv.ua/index.php?level=32.50.1"/>
    <hyperlink ref="B33" r:id="rId90" display="http://dkpp.rv.ua/index.php?level=20.30.2"/>
    <hyperlink ref="C153" r:id="rId91" display="http://dk16.dovidnyk.info/index.php?rozd=9524"/>
    <hyperlink ref="B159" r:id="rId92" display="http://dkpp.rv.ua/index.php?level=20.13.6"/>
    <hyperlink ref="B173" r:id="rId93" display="http://dkpp.rv.ua/index.php?level=20.59.6"/>
    <hyperlink ref="C190" r:id="rId94" display="http://dk16.dovidnyk.info/index.php?rozd=14531"/>
    <hyperlink ref="B184" r:id="rId95" display="http://dkpp.rv.ua/index.php?level=22.29.2"/>
    <hyperlink ref="B243" r:id="rId96" display="http://dkpp.rv.ua/index.php?level=74.90.1"/>
    <hyperlink ref="B11" r:id="rId97" display="http://dkpp.rv.ua/index.php?level=13.92.2"/>
    <hyperlink ref="B54" r:id="rId98" display="http://dkpp.rv.ua/index.php?level=24.10.1"/>
    <hyperlink ref="C54" r:id="rId99" tooltip="Дерево коду 24.10.1" display="http://dkpp.rv.ua/index.php?search=24.10.1&amp;type=code"/>
    <hyperlink ref="C223" r:id="rId100" display="http://dk16.dovidnyk.info/index.php?rozd=9694"/>
    <hyperlink ref="B228" r:id="rId101" display="http://dkpp.rv.ua/index.php?level=38.32.1"/>
    <hyperlink ref="B223" r:id="rId102" display="http://dkpp.rv.ua/index.php?level=33.13.1"/>
    <hyperlink ref="B49" r:id="rId103" display="http://dkpp.rv.ua/index.php?level=22.29.2"/>
    <hyperlink ref="B20" r:id="rId104" display="http://dkpp.rv.ua/index.php?level=17.29.1"/>
    <hyperlink ref="B222" r:id="rId105" display="http://dk16.dovidnyk.info/index.php?rozd=14751"/>
    <hyperlink ref="C251" r:id="rId106" display="http://dk16.dovidnyk.info/index.php?rozd=21201"/>
    <hyperlink ref="B251" r:id="rId107" display="http://dkpp.rv.ua/index.php?level=96.09.1"/>
    <hyperlink ref="B277" r:id="rId108" display="http://dkpp.rv.ua/index.php?level=26.51.6"/>
    <hyperlink ref="C48" r:id="rId109" tooltip="Дерево коду 22.23.1" display="http://dkpp.rv.ua/index.php?search=22.23.1&amp;type=code"/>
    <hyperlink ref="B48" r:id="rId110" display="http://dkpp.rv.ua/index.php?level=22.23.1"/>
    <hyperlink ref="B28" r:id="rId111" display="http://dkpp.rv.ua/index.php?level=20.14.3"/>
    <hyperlink ref="B225" r:id="rId112" display="http://dkpp.rv.ua/index.php?level=38.11.2"/>
    <hyperlink ref="B81" r:id="rId113" display="http://dkpp.rv.ua/index.php?level=31.03.1"/>
    <hyperlink ref="B12" r:id="rId114" display="http://dkpp.rv.ua/index.php?level=14.19.2"/>
    <hyperlink ref="B17" r:id="rId115" display="http://dkpp.rv.ua/index.php?level=17.12.7"/>
    <hyperlink ref="B13" r:id="rId116" display="http://dkpp.rv.ua/index.php?level=16.29.1"/>
    <hyperlink ref="B15" r:id="rId117" display="http://dkpp.rv.ua/index.php?level=17.12.1"/>
    <hyperlink ref="B16" r:id="rId118" display="http://dkpp.rv.ua/index.php?level=17.12.2"/>
    <hyperlink ref="B46" r:id="rId119" display="http://dkpp.rv.ua/index.php?level=22.21.2"/>
    <hyperlink ref="B42" r:id="rId120" display="http://dkpp.rv.ua/index.php?level=22.19.2"/>
    <hyperlink ref="B51" r:id="rId121" display="http://dkpp.rv.ua/index.php?level=23.20.1"/>
    <hyperlink ref="B52" r:id="rId122" display="http://dkpp.rv.ua/index.php?level=23.51.1"/>
    <hyperlink ref="B55" r:id="rId123" display="http://dkpp.rv.ua/index.php?level=24.20.4"/>
    <hyperlink ref="B57" r:id="rId124" display="http://dkpp.rv.ua/index.php?level=25.72.1"/>
    <hyperlink ref="B60" r:id="rId125" display="http://dkpp.rv.ua/index.php?level=25.73.3"/>
    <hyperlink ref="B59" r:id="rId126" display="http://dkpp.rv.ua/index.php?level=25.73.2"/>
    <hyperlink ref="B58" r:id="rId127" display="http://dkpp.rv.ua/index.php?level=25.73.1"/>
    <hyperlink ref="B64" r:id="rId128" display="http://dkpp.rv.ua/index.php?level=25.73.2"/>
    <hyperlink ref="B72" r:id="rId129" display="http://dkpp.rv.ua/index.php?level=27.40.1"/>
    <hyperlink ref="B74" r:id="rId130" display="http://dkpp.rv.ua/index.php?level=28.14.1"/>
    <hyperlink ref="B75" r:id="rId131" display="http://dkpp.rv.ua/index.php?level=28.30.4"/>
    <hyperlink ref="B39" r:id="rId132" display="http://dkpp.rv.ua/index.php?level=21.10.6"/>
    <hyperlink ref="B279" r:id="rId133" display="http://dkpp.rv.ua/index.php?level=26.60.1"/>
    <hyperlink ref="B281" r:id="rId134" display="http://dkpp.rv.ua/index.php?level=58.11.1"/>
    <hyperlink ref="B85" r:id="rId135" display="http://dkpp.rv.ua/index.php?level=32.91.1"/>
    <hyperlink ref="C244" r:id="rId136" display="http://dk16.dovidnyk.info/index.php?rozd=20759"/>
    <hyperlink ref="B244" r:id="rId137" display="http://dkpp.rv.ua/index.php?level=80.20.1"/>
    <hyperlink ref="B183" r:id="rId138" display="http://dkpp.rv.ua/index.php?level=22.22.1"/>
    <hyperlink ref="B35" r:id="rId139" display="http://dkpp.rv.ua/index.php?level=20.52.1"/>
    <hyperlink ref="B67" r:id="rId140" display="http://dkpp.rv.ua/index.php?level=26.51.6"/>
    <hyperlink ref="B65" r:id="rId141" display="http://dkpp.rv.ua/index.php?level=26.11.3"/>
    <hyperlink ref="B86" r:id="rId142" display="http://dkpp.rv.ua/index.php?level=32.99.1"/>
    <hyperlink ref="C301" r:id="rId143" display="http://dk16.dovidnyk.info/index.php?rozd=19816"/>
    <hyperlink ref="B301" r:id="rId144" display="http://dkpp.rv.ua/index.php?level=63.99.1"/>
    <hyperlink ref="B47" r:id="rId145" display="http://dkpp.rv.ua/index.php?level=22.21.4"/>
    <hyperlink ref="B53" r:id="rId146" display="http://dkpp.rv.ua/index.php?level=23.52.2"/>
    <hyperlink ref="B56" r:id="rId147" display="http://dkpp.rv.ua/index.php?level=25.71.1"/>
    <hyperlink ref="B224" r:id="rId148" display="http://dkpp.rv.ua/index.php?level=33.14.1"/>
    <hyperlink ref="B237" r:id="rId149" display="http://dkpp.rv.ua/index.php?level=63.11.1"/>
    <hyperlink ref="B274" r:id="rId150" display="http://dkpp.rv.ua/index.php?level=84.12.1"/>
    <hyperlink ref="B278" r:id="rId151" display="http://dkpp.rv.ua/index.php?level=26.20.1"/>
    <hyperlink ref="B247" r:id="rId152" display="http://dkpp.rv.ua/index.php?level=86.10.1"/>
    <hyperlink ref="C299" r:id="rId153" display="http://dk16.dovidnyk.info/index.php?rozd=19816"/>
    <hyperlink ref="B299" r:id="rId154" display="http://dkpp.rv.ua/index.php?level=26.20.1"/>
    <hyperlink ref="B78" r:id="rId155" display="http://dk16.dovidnyk.info/index.php?rozd=14094"/>
    <hyperlink ref="C37" r:id="rId156" display="http://dk16.dovidnyk.info/index.php?rozd=10488"/>
    <hyperlink ref="B37" r:id="rId157" display="http://dk16.dovidnyk.info/index.php?rozd=10488"/>
    <hyperlink ref="B84" r:id="rId158" display="http://dkpp.rv.ua/index.php?level=32.50.1"/>
    <hyperlink ref="B230" r:id="rId159" display="http://dkpp.rv.ua/index.php?level=43.22.1"/>
    <hyperlink ref="C230" r:id="rId160" tooltip="Дерево коду 43.22.1" display="http://dkpp.rv.ua/index.php?search=43.22.1&amp;type=code"/>
    <hyperlink ref="C78" r:id="rId161" display="http://dk16.dovidnyk.info/index.php?rozd=14094"/>
    <hyperlink ref="B8" r:id="rId162" display="http://dkpp.rv.ua/index.php?level=13.10.7"/>
    <hyperlink ref="B9" r:id="rId163" display="http://dkpp.rv.ua/index.php?level=13.20.3"/>
    <hyperlink ref="B14" r:id="rId164" display="http://dkpp.rv.ua/index.php?level=16.29.2"/>
    <hyperlink ref="B69" r:id="rId165" display="http://dkpp.rv.ua/index.php?level=27.33.1"/>
    <hyperlink ref="B70" r:id="rId166" display="http://dkpp.rv.ua/index.php?level=27.40.1"/>
    <hyperlink ref="B77" r:id="rId167" display="http://dkpp.rv.ua/index.php?level=29.31.2"/>
    <hyperlink ref="B18" r:id="rId168" display="http://dkpp.rv.ua/index.php?level=17.22.1"/>
    <hyperlink ref="B188" r:id="rId169" display="http://dkpp.rv.ua/index.php?level=27.40.1"/>
    <hyperlink ref="B62" r:id="rId170" display="http://dkpp.rv.ua/index.php?level=25.94.1"/>
    <hyperlink ref="B63" r:id="rId171" display="http://dkpp.rv.ua/index.php?level=25.99.1"/>
    <hyperlink ref="C221" r:id="rId172" display="http://dk16.dovidnyk.info/index.php?rozd=9694"/>
    <hyperlink ref="C220" r:id="rId173" display="http://dk16.dovidnyk.info/index.php?rozd=484"/>
    <hyperlink ref="B76" r:id="rId174" display="http://dkpp.rv.ua/index.php?level=29.10.1"/>
    <hyperlink ref="B68" r:id="rId175" display="http://dkpp.rv.ua/index.php?level=26.51.7"/>
    <hyperlink ref="B267" r:id="rId176" display="http://dkpp.rv.ua/index.php?level=36.00.2"/>
    <hyperlink ref="B268" r:id="rId177" display="http://dkpp.rv.ua/index.php?level=37.00.1"/>
    <hyperlink ref="B66" r:id="rId178" display="http://dkpp.rv.ua/index.php?level=22.19.2"/>
    <hyperlink ref="B45" r:id="rId179" display="http://dkpp.rv.ua/index.php?level=22.19.7"/>
  </hyperlinks>
  <pageMargins left="0" right="0.06" top="0.43307086614173229" bottom="0.19685039370078741" header="0.27559055118110237" footer="0.23622047244094491"/>
  <pageSetup paperSize="9" scale="90" orientation="portrait" horizontalDpi="200" verticalDpi="200" r:id="rId180"/>
  <headerFooter scaleWithDoc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6"/>
  <sheetViews>
    <sheetView view="pageBreakPreview" topLeftCell="A76" zoomScale="115" zoomScaleNormal="100" zoomScaleSheetLayoutView="115" workbookViewId="0">
      <selection activeCell="AH11" sqref="AH11"/>
    </sheetView>
  </sheetViews>
  <sheetFormatPr defaultColWidth="15.5703125" defaultRowHeight="38.25" customHeight="1" x14ac:dyDescent="0.2"/>
  <cols>
    <col min="1" max="1" width="3.42578125" style="5" customWidth="1"/>
    <col min="2" max="2" width="38.42578125" style="5" customWidth="1"/>
    <col min="3" max="3" width="16.85546875" style="5" customWidth="1"/>
    <col min="4" max="4" width="14.140625" style="5" customWidth="1"/>
    <col min="5" max="5" width="11.42578125" style="5" hidden="1" customWidth="1"/>
    <col min="6" max="6" width="18.42578125" style="5" hidden="1" customWidth="1"/>
    <col min="7" max="7" width="12" style="5" hidden="1" customWidth="1"/>
    <col min="8" max="8" width="5.5703125" style="5" hidden="1" customWidth="1"/>
    <col min="9" max="9" width="10.7109375" style="5" hidden="1" customWidth="1"/>
    <col min="10" max="10" width="11" style="5" hidden="1" customWidth="1"/>
    <col min="11" max="11" width="9.42578125" style="5" hidden="1" customWidth="1"/>
    <col min="12" max="12" width="11.28515625" style="5" hidden="1" customWidth="1"/>
    <col min="13" max="13" width="9.5703125" style="5" hidden="1" customWidth="1"/>
    <col min="14" max="14" width="9.28515625" style="5" hidden="1" customWidth="1"/>
    <col min="15" max="15" width="8.7109375" style="5" hidden="1" customWidth="1"/>
    <col min="16" max="16" width="13.42578125" style="5" hidden="1" customWidth="1"/>
    <col min="17" max="17" width="13.7109375" style="5" hidden="1" customWidth="1"/>
    <col min="18" max="18" width="8" style="5" hidden="1" customWidth="1"/>
    <col min="19" max="19" width="11.7109375" style="5" hidden="1" customWidth="1"/>
    <col min="20" max="25" width="15.5703125" style="5" hidden="1" customWidth="1"/>
    <col min="26" max="27" width="11.85546875" style="5" hidden="1" customWidth="1"/>
    <col min="28" max="28" width="10.7109375" style="5" hidden="1" customWidth="1"/>
    <col min="29" max="29" width="12" style="5" hidden="1" customWidth="1"/>
    <col min="30" max="31" width="11.85546875" style="5" hidden="1" customWidth="1"/>
    <col min="32" max="32" width="17.42578125" style="5" hidden="1" customWidth="1"/>
    <col min="33" max="33" width="17.42578125" style="5" customWidth="1"/>
    <col min="34" max="34" width="13.140625" style="5" customWidth="1"/>
    <col min="35" max="35" width="15.5703125" style="5" customWidth="1"/>
    <col min="36" max="36" width="38.85546875" style="5" customWidth="1"/>
    <col min="37" max="37" width="10.7109375" style="5" customWidth="1"/>
    <col min="38" max="39" width="12" style="5" customWidth="1"/>
    <col min="40" max="16384" width="15.5703125" style="5"/>
  </cols>
  <sheetData>
    <row r="1" spans="1:39" s="1" customFormat="1" ht="21" customHeight="1" x14ac:dyDescent="0.25">
      <c r="A1" s="136" t="s">
        <v>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</row>
    <row r="2" spans="1:39" s="1" customFormat="1" ht="21" customHeight="1" x14ac:dyDescent="0.25">
      <c r="A2" s="136" t="s">
        <v>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</row>
    <row r="3" spans="1:39" s="1" customFormat="1" ht="33.75" customHeight="1" thickBot="1" x14ac:dyDescent="0.3">
      <c r="A3" s="136" t="s">
        <v>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</row>
    <row r="4" spans="1:39" s="2" customFormat="1" ht="38.25" customHeight="1" x14ac:dyDescent="0.2">
      <c r="B4" s="137" t="s">
        <v>3</v>
      </c>
      <c r="C4" s="128"/>
      <c r="D4" s="128" t="s">
        <v>4</v>
      </c>
      <c r="E4" s="128" t="s">
        <v>5</v>
      </c>
      <c r="F4" s="128"/>
      <c r="G4" s="124" t="s">
        <v>6</v>
      </c>
      <c r="H4" s="128" t="s">
        <v>7</v>
      </c>
      <c r="I4" s="128" t="s">
        <v>8</v>
      </c>
      <c r="J4" s="128" t="s">
        <v>9</v>
      </c>
      <c r="K4" s="128" t="s">
        <v>10</v>
      </c>
      <c r="L4" s="128" t="s">
        <v>11</v>
      </c>
      <c r="M4" s="128" t="s">
        <v>12</v>
      </c>
      <c r="N4" s="128" t="s">
        <v>13</v>
      </c>
      <c r="O4" s="128" t="s">
        <v>14</v>
      </c>
      <c r="P4" s="128" t="s">
        <v>15</v>
      </c>
      <c r="Q4" s="128" t="s">
        <v>16</v>
      </c>
      <c r="R4" s="128" t="s">
        <v>17</v>
      </c>
      <c r="S4" s="128" t="s">
        <v>18</v>
      </c>
      <c r="T4" s="128" t="s">
        <v>19</v>
      </c>
      <c r="U4" s="128" t="s">
        <v>20</v>
      </c>
      <c r="V4" s="128" t="s">
        <v>21</v>
      </c>
      <c r="W4" s="128" t="s">
        <v>22</v>
      </c>
      <c r="X4" s="128" t="s">
        <v>23</v>
      </c>
      <c r="Y4" s="128" t="s">
        <v>24</v>
      </c>
      <c r="Z4" s="128" t="s">
        <v>25</v>
      </c>
      <c r="AA4" s="128" t="s">
        <v>26</v>
      </c>
      <c r="AB4" s="128" t="s">
        <v>27</v>
      </c>
      <c r="AC4" s="128" t="s">
        <v>28</v>
      </c>
      <c r="AD4" s="128" t="s">
        <v>29</v>
      </c>
      <c r="AE4" s="128" t="s">
        <v>30</v>
      </c>
      <c r="AF4" s="128" t="s">
        <v>31</v>
      </c>
      <c r="AG4" s="124" t="s">
        <v>32</v>
      </c>
      <c r="AH4" s="124" t="s">
        <v>33</v>
      </c>
      <c r="AI4" s="124" t="s">
        <v>34</v>
      </c>
      <c r="AJ4" s="126" t="s">
        <v>7</v>
      </c>
    </row>
    <row r="5" spans="1:39" s="2" customFormat="1" ht="31.5" x14ac:dyDescent="0.2">
      <c r="B5" s="133"/>
      <c r="C5" s="129"/>
      <c r="D5" s="129"/>
      <c r="E5" s="3" t="s">
        <v>35</v>
      </c>
      <c r="F5" s="4" t="s">
        <v>36</v>
      </c>
      <c r="G5" s="125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5"/>
      <c r="AH5" s="125"/>
      <c r="AI5" s="125"/>
      <c r="AJ5" s="127"/>
      <c r="AM5" s="140"/>
    </row>
    <row r="6" spans="1:39" ht="21.75" customHeight="1" x14ac:dyDescent="0.2">
      <c r="B6" s="131">
        <v>1</v>
      </c>
      <c r="C6" s="132"/>
      <c r="D6" s="6">
        <v>2</v>
      </c>
      <c r="E6" s="6">
        <v>4</v>
      </c>
      <c r="F6" s="6">
        <v>5</v>
      </c>
      <c r="G6" s="6">
        <v>6</v>
      </c>
      <c r="H6" s="6">
        <v>7</v>
      </c>
      <c r="I6" s="7"/>
      <c r="J6" s="7"/>
      <c r="K6" s="7"/>
      <c r="L6" s="8"/>
      <c r="M6" s="8"/>
      <c r="N6" s="8"/>
      <c r="O6" s="8"/>
      <c r="P6" s="8"/>
      <c r="Q6" s="8"/>
      <c r="R6" s="8"/>
      <c r="S6" s="8"/>
      <c r="T6" s="9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6">
        <v>3</v>
      </c>
      <c r="AH6" s="6">
        <v>4</v>
      </c>
      <c r="AI6" s="6">
        <v>5</v>
      </c>
      <c r="AJ6" s="10">
        <v>6</v>
      </c>
      <c r="AM6" s="140"/>
    </row>
    <row r="7" spans="1:39" ht="15.75" x14ac:dyDescent="0.2">
      <c r="B7" s="133" t="s">
        <v>37</v>
      </c>
      <c r="C7" s="129"/>
      <c r="D7" s="129"/>
      <c r="E7" s="129"/>
      <c r="F7" s="129"/>
      <c r="G7" s="129"/>
      <c r="H7" s="129"/>
      <c r="I7" s="7"/>
      <c r="J7" s="7"/>
      <c r="K7" s="7"/>
      <c r="L7" s="8"/>
      <c r="M7" s="8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9"/>
      <c r="AH7" s="9"/>
      <c r="AI7" s="9"/>
      <c r="AJ7" s="11"/>
    </row>
    <row r="8" spans="1:39" s="12" customFormat="1" ht="47.25" x14ac:dyDescent="0.25">
      <c r="B8" s="13" t="s">
        <v>38</v>
      </c>
      <c r="C8" s="14" t="s">
        <v>39</v>
      </c>
      <c r="D8" s="15">
        <v>2210</v>
      </c>
      <c r="E8" s="14"/>
      <c r="F8" s="14" t="e">
        <f>E8+#REF!</f>
        <v>#REF!</v>
      </c>
      <c r="G8" s="14">
        <v>3000</v>
      </c>
      <c r="H8" s="14"/>
      <c r="I8" s="14">
        <v>500</v>
      </c>
      <c r="J8" s="14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4">
        <f>G8+I8+J8+K8+L8+L8+M8+N8+O8+P8+Q8+R8+S8+T8+U8+V8+W8+X8+Y8+Z8+AA8+AB8+AC8+AD8+AE8+AF8</f>
        <v>3500</v>
      </c>
      <c r="AH8" s="14"/>
      <c r="AI8" s="17"/>
      <c r="AJ8" s="18" t="s">
        <v>40</v>
      </c>
    </row>
    <row r="9" spans="1:39" s="12" customFormat="1" ht="102" customHeight="1" x14ac:dyDescent="0.25">
      <c r="B9" s="19" t="s">
        <v>41</v>
      </c>
      <c r="C9" s="14" t="s">
        <v>42</v>
      </c>
      <c r="D9" s="15">
        <v>2210</v>
      </c>
      <c r="E9" s="14"/>
      <c r="F9" s="14" t="e">
        <f>E9+#REF!</f>
        <v>#REF!</v>
      </c>
      <c r="G9" s="14">
        <v>3500</v>
      </c>
      <c r="H9" s="14"/>
      <c r="I9" s="14"/>
      <c r="J9" s="14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4">
        <f t="shared" ref="AG9:AG16" si="0">G9+I9+J9+K9+L9+L9+M9+N9+O9+P9+Q9+R9+S9+T9+U9+V9+W9+X9+Y9+Z9+AA9+AB9+AC9+AD9+AE9+AF9</f>
        <v>3500</v>
      </c>
      <c r="AH9" s="14"/>
      <c r="AI9" s="17"/>
      <c r="AJ9" s="18"/>
    </row>
    <row r="10" spans="1:39" s="12" customFormat="1" ht="58.5" customHeight="1" x14ac:dyDescent="0.25">
      <c r="B10" s="19" t="s">
        <v>43</v>
      </c>
      <c r="C10" s="20" t="s">
        <v>44</v>
      </c>
      <c r="D10" s="15">
        <v>2210</v>
      </c>
      <c r="E10" s="14"/>
      <c r="F10" s="14" t="e">
        <f>E10+#REF!</f>
        <v>#REF!</v>
      </c>
      <c r="G10" s="14">
        <v>1000</v>
      </c>
      <c r="H10" s="14"/>
      <c r="I10" s="14">
        <v>329</v>
      </c>
      <c r="J10" s="14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4">
        <f t="shared" si="0"/>
        <v>1329</v>
      </c>
      <c r="AH10" s="14"/>
      <c r="AI10" s="17"/>
      <c r="AJ10" s="18" t="s">
        <v>45</v>
      </c>
    </row>
    <row r="11" spans="1:39" s="12" customFormat="1" ht="58.5" customHeight="1" x14ac:dyDescent="0.25">
      <c r="B11" s="13" t="s">
        <v>46</v>
      </c>
      <c r="C11" s="7" t="s">
        <v>47</v>
      </c>
      <c r="D11" s="21">
        <v>2210</v>
      </c>
      <c r="E11" s="14"/>
      <c r="F11" s="14"/>
      <c r="G11" s="14">
        <v>0</v>
      </c>
      <c r="H11" s="14"/>
      <c r="I11" s="14">
        <v>2500</v>
      </c>
      <c r="J11" s="14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4">
        <f t="shared" si="0"/>
        <v>2500</v>
      </c>
      <c r="AH11" s="14"/>
      <c r="AI11" s="17"/>
      <c r="AJ11" s="18" t="s">
        <v>48</v>
      </c>
    </row>
    <row r="12" spans="1:39" s="12" customFormat="1" ht="62.25" customHeight="1" x14ac:dyDescent="0.25">
      <c r="B12" s="13" t="s">
        <v>49</v>
      </c>
      <c r="C12" s="7" t="s">
        <v>50</v>
      </c>
      <c r="D12" s="21">
        <v>2210</v>
      </c>
      <c r="E12" s="14"/>
      <c r="F12" s="14"/>
      <c r="G12" s="14">
        <v>0</v>
      </c>
      <c r="H12" s="14"/>
      <c r="I12" s="14"/>
      <c r="J12" s="14">
        <f>1020*0.1</f>
        <v>102</v>
      </c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4">
        <f t="shared" si="0"/>
        <v>102</v>
      </c>
      <c r="AH12" s="14"/>
      <c r="AI12" s="17"/>
      <c r="AJ12" s="18" t="s">
        <v>51</v>
      </c>
    </row>
    <row r="13" spans="1:39" s="12" customFormat="1" ht="58.5" customHeight="1" x14ac:dyDescent="0.25">
      <c r="B13" s="13" t="s">
        <v>52</v>
      </c>
      <c r="C13" s="7" t="s">
        <v>53</v>
      </c>
      <c r="D13" s="21">
        <v>2210</v>
      </c>
      <c r="E13" s="14"/>
      <c r="F13" s="14"/>
      <c r="G13" s="14">
        <v>0</v>
      </c>
      <c r="H13" s="14"/>
      <c r="I13" s="14"/>
      <c r="J13" s="14">
        <f>450/2+96*5</f>
        <v>705</v>
      </c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4">
        <f t="shared" si="0"/>
        <v>705</v>
      </c>
      <c r="AH13" s="14"/>
      <c r="AI13" s="17"/>
      <c r="AJ13" s="18" t="s">
        <v>54</v>
      </c>
    </row>
    <row r="14" spans="1:39" s="12" customFormat="1" ht="78.75" customHeight="1" x14ac:dyDescent="0.25">
      <c r="B14" s="19" t="s">
        <v>55</v>
      </c>
      <c r="C14" s="14" t="s">
        <v>56</v>
      </c>
      <c r="D14" s="15">
        <v>2210</v>
      </c>
      <c r="E14" s="14"/>
      <c r="F14" s="14" t="e">
        <f>E14+#REF!</f>
        <v>#REF!</v>
      </c>
      <c r="G14" s="14">
        <v>1000</v>
      </c>
      <c r="H14" s="14"/>
      <c r="I14" s="14">
        <v>-329</v>
      </c>
      <c r="J14" s="14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4">
        <f t="shared" si="0"/>
        <v>671</v>
      </c>
      <c r="AH14" s="14"/>
      <c r="AI14" s="17"/>
      <c r="AJ14" s="18" t="s">
        <v>57</v>
      </c>
    </row>
    <row r="15" spans="1:39" s="12" customFormat="1" ht="78.75" customHeight="1" x14ac:dyDescent="0.25">
      <c r="B15" s="13" t="s">
        <v>58</v>
      </c>
      <c r="C15" s="14" t="s">
        <v>59</v>
      </c>
      <c r="D15" s="15">
        <v>2210</v>
      </c>
      <c r="E15" s="14"/>
      <c r="F15" s="14"/>
      <c r="G15" s="14">
        <v>0</v>
      </c>
      <c r="H15" s="14"/>
      <c r="I15" s="14"/>
      <c r="J15" s="14">
        <v>346</v>
      </c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4">
        <f t="shared" si="0"/>
        <v>346</v>
      </c>
      <c r="AH15" s="14"/>
      <c r="AI15" s="17"/>
      <c r="AJ15" s="18" t="s">
        <v>60</v>
      </c>
    </row>
    <row r="16" spans="1:39" s="12" customFormat="1" ht="78.75" customHeight="1" x14ac:dyDescent="0.25">
      <c r="B16" s="13" t="s">
        <v>61</v>
      </c>
      <c r="C16" s="15" t="s">
        <v>62</v>
      </c>
      <c r="D16" s="21">
        <v>2210</v>
      </c>
      <c r="E16" s="14"/>
      <c r="F16" s="14"/>
      <c r="G16" s="14">
        <v>0</v>
      </c>
      <c r="H16" s="14"/>
      <c r="I16" s="14">
        <v>2300</v>
      </c>
      <c r="J16" s="14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4">
        <f t="shared" si="0"/>
        <v>2300</v>
      </c>
      <c r="AH16" s="14"/>
      <c r="AI16" s="17"/>
      <c r="AJ16" s="18" t="s">
        <v>63</v>
      </c>
    </row>
    <row r="17" spans="2:36" s="12" customFormat="1" ht="16.5" x14ac:dyDescent="0.25">
      <c r="B17" s="22" t="s">
        <v>64</v>
      </c>
      <c r="C17" s="14"/>
      <c r="D17" s="15"/>
      <c r="E17" s="14"/>
      <c r="F17" s="17" t="e">
        <f>SUM(F8:F14)</f>
        <v>#REF!</v>
      </c>
      <c r="G17" s="17">
        <f>SUM(G8:G16)</f>
        <v>8500</v>
      </c>
      <c r="H17" s="14"/>
      <c r="I17" s="14">
        <f>SUM(I8:I16)</f>
        <v>5300</v>
      </c>
      <c r="J17" s="14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7">
        <f>SUM(AG8:AG16)</f>
        <v>14953</v>
      </c>
      <c r="AH17" s="17"/>
      <c r="AI17" s="23"/>
      <c r="AJ17" s="18"/>
    </row>
    <row r="18" spans="2:36" s="12" customFormat="1" ht="50.25" customHeight="1" x14ac:dyDescent="0.25">
      <c r="B18" s="19" t="s">
        <v>65</v>
      </c>
      <c r="C18" s="14" t="s">
        <v>66</v>
      </c>
      <c r="D18" s="15">
        <v>2220</v>
      </c>
      <c r="E18" s="14">
        <v>1000</v>
      </c>
      <c r="F18" s="14" t="e">
        <f>E18+#REF!</f>
        <v>#REF!</v>
      </c>
      <c r="G18" s="14">
        <v>1000</v>
      </c>
      <c r="H18" s="14"/>
      <c r="I18" s="14"/>
      <c r="J18" s="14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4">
        <f t="shared" ref="AG18:AG81" si="1">G18+I18+J18+K18+L18+L18+M18+N18+O18+P18+Q18+R18+S18+T18+U18+V18+W18+X18+Y18+Z18+AA18+AB18+AC18+AD18+AE18+AF18</f>
        <v>1000</v>
      </c>
      <c r="AH18" s="14"/>
      <c r="AI18" s="17"/>
      <c r="AJ18" s="24"/>
    </row>
    <row r="19" spans="2:36" s="12" customFormat="1" ht="50.25" customHeight="1" x14ac:dyDescent="0.25">
      <c r="B19" s="19" t="s">
        <v>67</v>
      </c>
      <c r="C19" s="14" t="s">
        <v>68</v>
      </c>
      <c r="D19" s="15">
        <v>2220</v>
      </c>
      <c r="E19" s="14">
        <v>0</v>
      </c>
      <c r="F19" s="14" t="e">
        <f>E19+#REF!</f>
        <v>#REF!</v>
      </c>
      <c r="G19" s="14">
        <v>0</v>
      </c>
      <c r="H19" s="14"/>
      <c r="I19" s="14"/>
      <c r="J19" s="14">
        <v>211.43</v>
      </c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4">
        <f t="shared" si="1"/>
        <v>211.43</v>
      </c>
      <c r="AH19" s="14"/>
      <c r="AI19" s="17"/>
      <c r="AJ19" s="18" t="s">
        <v>69</v>
      </c>
    </row>
    <row r="20" spans="2:36" s="12" customFormat="1" ht="50.25" customHeight="1" x14ac:dyDescent="0.25">
      <c r="B20" s="19" t="s">
        <v>70</v>
      </c>
      <c r="C20" s="15" t="s">
        <v>71</v>
      </c>
      <c r="D20" s="15">
        <v>2220</v>
      </c>
      <c r="E20" s="14">
        <v>13800</v>
      </c>
      <c r="F20" s="14" t="e">
        <f>E20+#REF!</f>
        <v>#REF!</v>
      </c>
      <c r="G20" s="14">
        <v>13800</v>
      </c>
      <c r="H20" s="14"/>
      <c r="I20" s="14"/>
      <c r="J20" s="14"/>
      <c r="K20" s="14"/>
      <c r="L20" s="25"/>
      <c r="M20" s="25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4">
        <f t="shared" si="1"/>
        <v>13800</v>
      </c>
      <c r="AH20" s="14"/>
      <c r="AI20" s="17"/>
      <c r="AJ20" s="24"/>
    </row>
    <row r="21" spans="2:36" s="12" customFormat="1" ht="62.25" customHeight="1" x14ac:dyDescent="0.25">
      <c r="B21" s="19" t="s">
        <v>72</v>
      </c>
      <c r="C21" s="15" t="s">
        <v>73</v>
      </c>
      <c r="D21" s="15">
        <v>2220</v>
      </c>
      <c r="E21" s="14">
        <v>100</v>
      </c>
      <c r="F21" s="14" t="e">
        <f>E21+#REF!</f>
        <v>#REF!</v>
      </c>
      <c r="G21" s="14">
        <v>100</v>
      </c>
      <c r="H21" s="14"/>
      <c r="I21" s="14"/>
      <c r="J21" s="14"/>
      <c r="K21" s="14"/>
      <c r="L21" s="25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4">
        <f t="shared" si="1"/>
        <v>100</v>
      </c>
      <c r="AH21" s="14"/>
      <c r="AI21" s="17"/>
      <c r="AJ21" s="24"/>
    </row>
    <row r="22" spans="2:36" s="12" customFormat="1" ht="62.25" customHeight="1" x14ac:dyDescent="0.25">
      <c r="B22" s="19" t="s">
        <v>74</v>
      </c>
      <c r="C22" s="15" t="s">
        <v>75</v>
      </c>
      <c r="D22" s="15">
        <v>2220</v>
      </c>
      <c r="E22" s="14">
        <v>25000</v>
      </c>
      <c r="F22" s="14" t="e">
        <f>E22+#REF!</f>
        <v>#REF!</v>
      </c>
      <c r="G22" s="14">
        <v>25000</v>
      </c>
      <c r="H22" s="14"/>
      <c r="I22" s="14"/>
      <c r="J22" s="14">
        <v>-211.43</v>
      </c>
      <c r="K22" s="14"/>
      <c r="L22" s="25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4">
        <f t="shared" si="1"/>
        <v>24788.57</v>
      </c>
      <c r="AH22" s="14"/>
      <c r="AI22" s="17"/>
      <c r="AJ22" s="18" t="s">
        <v>76</v>
      </c>
    </row>
    <row r="23" spans="2:36" s="12" customFormat="1" ht="51.75" customHeight="1" x14ac:dyDescent="0.25">
      <c r="B23" s="19" t="s">
        <v>77</v>
      </c>
      <c r="C23" s="15" t="s">
        <v>78</v>
      </c>
      <c r="D23" s="15">
        <v>2220</v>
      </c>
      <c r="E23" s="14">
        <v>10000</v>
      </c>
      <c r="F23" s="14" t="e">
        <f>E23+#REF!</f>
        <v>#REF!</v>
      </c>
      <c r="G23" s="14">
        <v>10000</v>
      </c>
      <c r="H23" s="14"/>
      <c r="I23" s="14"/>
      <c r="J23" s="14"/>
      <c r="K23" s="14"/>
      <c r="L23" s="2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4">
        <f t="shared" si="1"/>
        <v>10000</v>
      </c>
      <c r="AH23" s="14"/>
      <c r="AI23" s="17"/>
      <c r="AJ23" s="24"/>
    </row>
    <row r="24" spans="2:36" s="12" customFormat="1" ht="51.75" customHeight="1" x14ac:dyDescent="0.25">
      <c r="B24" s="19" t="s">
        <v>79</v>
      </c>
      <c r="C24" s="15" t="s">
        <v>80</v>
      </c>
      <c r="D24" s="15">
        <v>2220</v>
      </c>
      <c r="E24" s="14">
        <v>2000</v>
      </c>
      <c r="F24" s="14" t="e">
        <f>E24+#REF!</f>
        <v>#REF!</v>
      </c>
      <c r="G24" s="14">
        <v>2000</v>
      </c>
      <c r="H24" s="14"/>
      <c r="I24" s="14"/>
      <c r="J24" s="14"/>
      <c r="K24" s="14"/>
      <c r="L24" s="25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4">
        <f t="shared" si="1"/>
        <v>2000</v>
      </c>
      <c r="AH24" s="14"/>
      <c r="AI24" s="17"/>
      <c r="AJ24" s="24"/>
    </row>
    <row r="25" spans="2:36" s="12" customFormat="1" ht="51.75" customHeight="1" x14ac:dyDescent="0.25">
      <c r="B25" s="19" t="s">
        <v>81</v>
      </c>
      <c r="C25" s="15" t="s">
        <v>82</v>
      </c>
      <c r="D25" s="15">
        <v>2220</v>
      </c>
      <c r="E25" s="14">
        <v>10000</v>
      </c>
      <c r="F25" s="14" t="e">
        <f>E25+#REF!</f>
        <v>#REF!</v>
      </c>
      <c r="G25" s="14">
        <v>10000</v>
      </c>
      <c r="H25" s="14"/>
      <c r="I25" s="14"/>
      <c r="J25" s="14"/>
      <c r="K25" s="14"/>
      <c r="L25" s="25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4">
        <f t="shared" si="1"/>
        <v>10000</v>
      </c>
      <c r="AH25" s="14"/>
      <c r="AI25" s="17"/>
      <c r="AJ25" s="24"/>
    </row>
    <row r="26" spans="2:36" s="12" customFormat="1" ht="93.75" customHeight="1" x14ac:dyDescent="0.25">
      <c r="B26" s="19" t="s">
        <v>83</v>
      </c>
      <c r="C26" s="15" t="s">
        <v>84</v>
      </c>
      <c r="D26" s="15">
        <v>2220</v>
      </c>
      <c r="E26" s="14">
        <v>25000</v>
      </c>
      <c r="F26" s="14" t="e">
        <f>E26+#REF!</f>
        <v>#REF!</v>
      </c>
      <c r="G26" s="14">
        <v>25000</v>
      </c>
      <c r="H26" s="14"/>
      <c r="I26" s="14"/>
      <c r="J26" s="14"/>
      <c r="K26" s="14"/>
      <c r="L26" s="25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4">
        <f t="shared" si="1"/>
        <v>25000</v>
      </c>
      <c r="AH26" s="14"/>
      <c r="AI26" s="17"/>
      <c r="AJ26" s="24"/>
    </row>
    <row r="27" spans="2:36" s="12" customFormat="1" ht="157.5" customHeight="1" x14ac:dyDescent="0.25">
      <c r="B27" s="19" t="s">
        <v>85</v>
      </c>
      <c r="C27" s="15" t="s">
        <v>86</v>
      </c>
      <c r="D27" s="15">
        <v>2220</v>
      </c>
      <c r="E27" s="14">
        <v>1500</v>
      </c>
      <c r="F27" s="14" t="e">
        <f>E27+#REF!</f>
        <v>#REF!</v>
      </c>
      <c r="G27" s="14">
        <v>1500</v>
      </c>
      <c r="H27" s="14"/>
      <c r="I27" s="14"/>
      <c r="J27" s="14"/>
      <c r="K27" s="14"/>
      <c r="L27" s="25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4">
        <f t="shared" si="1"/>
        <v>1500</v>
      </c>
      <c r="AH27" s="14"/>
      <c r="AI27" s="17"/>
      <c r="AJ27" s="24"/>
    </row>
    <row r="28" spans="2:36" s="12" customFormat="1" ht="51.75" customHeight="1" x14ac:dyDescent="0.25">
      <c r="B28" s="19" t="s">
        <v>87</v>
      </c>
      <c r="C28" s="15" t="s">
        <v>88</v>
      </c>
      <c r="D28" s="15">
        <v>2220</v>
      </c>
      <c r="E28" s="14">
        <v>100</v>
      </c>
      <c r="F28" s="14" t="e">
        <f>E28+#REF!</f>
        <v>#REF!</v>
      </c>
      <c r="G28" s="14">
        <v>100</v>
      </c>
      <c r="H28" s="14"/>
      <c r="I28" s="14"/>
      <c r="J28" s="14"/>
      <c r="K28" s="14"/>
      <c r="L28" s="25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4">
        <f t="shared" si="1"/>
        <v>100</v>
      </c>
      <c r="AH28" s="14"/>
      <c r="AI28" s="17"/>
      <c r="AJ28" s="24"/>
    </row>
    <row r="29" spans="2:36" s="12" customFormat="1" ht="84" customHeight="1" x14ac:dyDescent="0.25">
      <c r="B29" s="19" t="s">
        <v>89</v>
      </c>
      <c r="C29" s="15" t="s">
        <v>90</v>
      </c>
      <c r="D29" s="15">
        <v>2220</v>
      </c>
      <c r="E29" s="14">
        <v>25000</v>
      </c>
      <c r="F29" s="14" t="e">
        <f>E29+#REF!</f>
        <v>#REF!</v>
      </c>
      <c r="G29" s="14">
        <v>25000</v>
      </c>
      <c r="H29" s="14"/>
      <c r="I29" s="14"/>
      <c r="J29" s="14"/>
      <c r="K29" s="14"/>
      <c r="L29" s="25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4">
        <f t="shared" si="1"/>
        <v>25000</v>
      </c>
      <c r="AH29" s="14"/>
      <c r="AI29" s="17"/>
      <c r="AJ29" s="24"/>
    </row>
    <row r="30" spans="2:36" s="12" customFormat="1" ht="79.5" customHeight="1" x14ac:dyDescent="0.25">
      <c r="B30" s="19" t="s">
        <v>91</v>
      </c>
      <c r="C30" s="15" t="s">
        <v>92</v>
      </c>
      <c r="D30" s="15">
        <v>2220</v>
      </c>
      <c r="E30" s="14">
        <v>5000</v>
      </c>
      <c r="F30" s="14" t="e">
        <f>E30+#REF!</f>
        <v>#REF!</v>
      </c>
      <c r="G30" s="14">
        <v>5000</v>
      </c>
      <c r="H30" s="14"/>
      <c r="I30" s="14"/>
      <c r="J30" s="14"/>
      <c r="K30" s="14"/>
      <c r="L30" s="25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4">
        <f t="shared" si="1"/>
        <v>5000</v>
      </c>
      <c r="AH30" s="14"/>
      <c r="AI30" s="17"/>
      <c r="AJ30" s="24"/>
    </row>
    <row r="31" spans="2:36" s="28" customFormat="1" ht="51.75" customHeight="1" x14ac:dyDescent="0.25">
      <c r="B31" s="19" t="s">
        <v>93</v>
      </c>
      <c r="C31" s="15" t="s">
        <v>94</v>
      </c>
      <c r="D31" s="15">
        <v>2220</v>
      </c>
      <c r="E31" s="14">
        <v>5000</v>
      </c>
      <c r="F31" s="14" t="e">
        <f>E31+#REF!</f>
        <v>#REF!</v>
      </c>
      <c r="G31" s="14">
        <v>5000</v>
      </c>
      <c r="H31" s="14"/>
      <c r="I31" s="14"/>
      <c r="J31" s="14"/>
      <c r="K31" s="14"/>
      <c r="L31" s="25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14">
        <f t="shared" si="1"/>
        <v>5000</v>
      </c>
      <c r="AH31" s="14"/>
      <c r="AI31" s="17"/>
      <c r="AJ31" s="27"/>
    </row>
    <row r="32" spans="2:36" s="12" customFormat="1" ht="51.75" customHeight="1" x14ac:dyDescent="0.25">
      <c r="B32" s="19" t="s">
        <v>95</v>
      </c>
      <c r="C32" s="15" t="s">
        <v>96</v>
      </c>
      <c r="D32" s="15">
        <v>2220</v>
      </c>
      <c r="E32" s="14">
        <v>15000</v>
      </c>
      <c r="F32" s="14" t="e">
        <f>E32+#REF!</f>
        <v>#REF!</v>
      </c>
      <c r="G32" s="14">
        <v>15000</v>
      </c>
      <c r="H32" s="14"/>
      <c r="I32" s="14"/>
      <c r="J32" s="14"/>
      <c r="K32" s="14"/>
      <c r="L32" s="25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4">
        <f t="shared" si="1"/>
        <v>15000</v>
      </c>
      <c r="AH32" s="14"/>
      <c r="AI32" s="17"/>
      <c r="AJ32" s="24"/>
    </row>
    <row r="33" spans="2:36" s="12" customFormat="1" ht="51.75" customHeight="1" x14ac:dyDescent="0.25">
      <c r="B33" s="19" t="s">
        <v>97</v>
      </c>
      <c r="C33" s="15" t="s">
        <v>98</v>
      </c>
      <c r="D33" s="15">
        <v>2220</v>
      </c>
      <c r="E33" s="14">
        <v>10000</v>
      </c>
      <c r="F33" s="14" t="e">
        <f>E33+#REF!</f>
        <v>#REF!</v>
      </c>
      <c r="G33" s="14">
        <v>10000</v>
      </c>
      <c r="H33" s="14"/>
      <c r="I33" s="14"/>
      <c r="J33" s="14"/>
      <c r="K33" s="14"/>
      <c r="L33" s="25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/>
      <c r="AB33" s="16"/>
      <c r="AC33" s="16"/>
      <c r="AD33" s="16"/>
      <c r="AE33" s="16"/>
      <c r="AF33" s="16"/>
      <c r="AG33" s="14">
        <f t="shared" si="1"/>
        <v>10000</v>
      </c>
      <c r="AH33" s="14"/>
      <c r="AI33" s="17"/>
      <c r="AJ33" s="24"/>
    </row>
    <row r="34" spans="2:36" s="12" customFormat="1" ht="51.75" customHeight="1" x14ac:dyDescent="0.25">
      <c r="B34" s="19" t="s">
        <v>99</v>
      </c>
      <c r="C34" s="15" t="s">
        <v>100</v>
      </c>
      <c r="D34" s="15">
        <v>2220</v>
      </c>
      <c r="E34" s="14">
        <v>1500</v>
      </c>
      <c r="F34" s="14" t="e">
        <f>E34+#REF!</f>
        <v>#REF!</v>
      </c>
      <c r="G34" s="14">
        <v>1500</v>
      </c>
      <c r="H34" s="14"/>
      <c r="I34" s="14"/>
      <c r="J34" s="14"/>
      <c r="K34" s="17"/>
      <c r="L34" s="25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4">
        <f t="shared" si="1"/>
        <v>1500</v>
      </c>
      <c r="AH34" s="14"/>
      <c r="AI34" s="17"/>
      <c r="AJ34" s="24"/>
    </row>
    <row r="35" spans="2:36" s="12" customFormat="1" ht="16.5" x14ac:dyDescent="0.25">
      <c r="B35" s="22" t="s">
        <v>101</v>
      </c>
      <c r="C35" s="15"/>
      <c r="D35" s="15"/>
      <c r="E35" s="17">
        <f>SUM(E18:E34)</f>
        <v>150000</v>
      </c>
      <c r="F35" s="17" t="e">
        <f>SUM(F20:F34)</f>
        <v>#REF!</v>
      </c>
      <c r="G35" s="17">
        <f>SUM(G18:G34)</f>
        <v>150000</v>
      </c>
      <c r="H35" s="14">
        <f>150000-E35</f>
        <v>0</v>
      </c>
      <c r="I35" s="14"/>
      <c r="J35" s="14"/>
      <c r="K35" s="25"/>
      <c r="L35" s="25"/>
      <c r="M35" s="16"/>
      <c r="N35" s="16"/>
      <c r="O35" s="25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7">
        <f>SUM(AG18:AG34)</f>
        <v>150000</v>
      </c>
      <c r="AH35" s="17"/>
      <c r="AI35" s="23"/>
      <c r="AJ35" s="18"/>
    </row>
    <row r="36" spans="2:36" s="12" customFormat="1" ht="16.5" x14ac:dyDescent="0.25">
      <c r="B36" s="19" t="s">
        <v>102</v>
      </c>
      <c r="C36" s="15" t="s">
        <v>103</v>
      </c>
      <c r="D36" s="15">
        <v>2230</v>
      </c>
      <c r="E36" s="14">
        <f>2.75*1800</f>
        <v>4950</v>
      </c>
      <c r="F36" s="14" t="e">
        <f>E36+#REF!</f>
        <v>#REF!</v>
      </c>
      <c r="G36" s="14">
        <v>5200</v>
      </c>
      <c r="H36" s="14"/>
      <c r="I36" s="14"/>
      <c r="J36" s="14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4">
        <f t="shared" si="1"/>
        <v>5200</v>
      </c>
      <c r="AH36" s="14"/>
      <c r="AI36" s="17"/>
      <c r="AJ36" s="24"/>
    </row>
    <row r="37" spans="2:36" s="12" customFormat="1" ht="39.75" customHeight="1" x14ac:dyDescent="0.25">
      <c r="B37" s="19" t="s">
        <v>104</v>
      </c>
      <c r="C37" s="15" t="s">
        <v>105</v>
      </c>
      <c r="D37" s="15">
        <v>2230</v>
      </c>
      <c r="E37" s="14">
        <f>4.5*1200+4.5*330+7.3*350</f>
        <v>9440</v>
      </c>
      <c r="F37" s="14" t="e">
        <f>E37+#REF!</f>
        <v>#REF!</v>
      </c>
      <c r="G37" s="14">
        <f>8775+5578.98</f>
        <v>14353.98</v>
      </c>
      <c r="H37" s="14"/>
      <c r="I37" s="14"/>
      <c r="J37" s="14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4">
        <f t="shared" si="1"/>
        <v>14353.98</v>
      </c>
      <c r="AH37" s="14"/>
      <c r="AI37" s="17"/>
      <c r="AJ37" s="24"/>
    </row>
    <row r="38" spans="2:36" s="12" customFormat="1" ht="39.75" customHeight="1" x14ac:dyDescent="0.25">
      <c r="B38" s="13" t="s">
        <v>106</v>
      </c>
      <c r="C38" s="15" t="s">
        <v>107</v>
      </c>
      <c r="D38" s="21">
        <v>2230</v>
      </c>
      <c r="E38" s="14"/>
      <c r="F38" s="14"/>
      <c r="G38" s="14">
        <v>9000</v>
      </c>
      <c r="H38" s="14"/>
      <c r="I38" s="14"/>
      <c r="J38" s="14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4">
        <f t="shared" si="1"/>
        <v>9000</v>
      </c>
      <c r="AH38" s="14"/>
      <c r="AI38" s="17"/>
      <c r="AJ38" s="24"/>
    </row>
    <row r="39" spans="2:36" s="12" customFormat="1" ht="39.75" customHeight="1" x14ac:dyDescent="0.25">
      <c r="B39" s="19" t="s">
        <v>108</v>
      </c>
      <c r="C39" s="15" t="s">
        <v>109</v>
      </c>
      <c r="D39" s="15">
        <v>2230</v>
      </c>
      <c r="E39" s="14">
        <f>5.1*2774</f>
        <v>14147.4</v>
      </c>
      <c r="F39" s="14" t="e">
        <f>E39+#REF!</f>
        <v>#REF!</v>
      </c>
      <c r="G39" s="14">
        <v>10890</v>
      </c>
      <c r="H39" s="14"/>
      <c r="I39" s="14"/>
      <c r="J39" s="14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4">
        <f t="shared" si="1"/>
        <v>10890</v>
      </c>
      <c r="AH39" s="14"/>
      <c r="AI39" s="17"/>
      <c r="AJ39" s="24"/>
    </row>
    <row r="40" spans="2:36" s="12" customFormat="1" ht="16.5" x14ac:dyDescent="0.25">
      <c r="B40" s="19" t="s">
        <v>110</v>
      </c>
      <c r="C40" s="15" t="s">
        <v>111</v>
      </c>
      <c r="D40" s="15">
        <v>2230</v>
      </c>
      <c r="E40" s="14">
        <f>1.15*12000</f>
        <v>13799.999999999998</v>
      </c>
      <c r="F40" s="14" t="e">
        <f>E40+#REF!</f>
        <v>#REF!</v>
      </c>
      <c r="G40" s="14">
        <v>17280</v>
      </c>
      <c r="H40" s="14"/>
      <c r="I40" s="14"/>
      <c r="J40" s="14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4">
        <f t="shared" si="1"/>
        <v>17280</v>
      </c>
      <c r="AH40" s="14"/>
      <c r="AI40" s="17"/>
      <c r="AJ40" s="24"/>
    </row>
    <row r="41" spans="2:36" s="12" customFormat="1" ht="33" x14ac:dyDescent="0.25">
      <c r="B41" s="19" t="s">
        <v>112</v>
      </c>
      <c r="C41" s="15" t="s">
        <v>113</v>
      </c>
      <c r="D41" s="15">
        <v>2230</v>
      </c>
      <c r="E41" s="14">
        <f>24.5*1800</f>
        <v>44100</v>
      </c>
      <c r="F41" s="14" t="e">
        <f>E41+#REF!</f>
        <v>#REF!</v>
      </c>
      <c r="G41" s="14">
        <v>47450</v>
      </c>
      <c r="H41" s="14"/>
      <c r="I41" s="14"/>
      <c r="J41" s="14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4">
        <f t="shared" si="1"/>
        <v>47450</v>
      </c>
      <c r="AH41" s="14"/>
      <c r="AI41" s="17"/>
      <c r="AJ41" s="24"/>
    </row>
    <row r="42" spans="2:36" s="12" customFormat="1" ht="39.75" customHeight="1" x14ac:dyDescent="0.25">
      <c r="B42" s="19" t="s">
        <v>114</v>
      </c>
      <c r="C42" s="15" t="s">
        <v>115</v>
      </c>
      <c r="D42" s="15">
        <v>2230</v>
      </c>
      <c r="E42" s="14">
        <f>29.5*1000</f>
        <v>29500</v>
      </c>
      <c r="F42" s="14" t="e">
        <f>E42+#REF!</f>
        <v>#REF!</v>
      </c>
      <c r="G42" s="14">
        <v>27120</v>
      </c>
      <c r="H42" s="14"/>
      <c r="I42" s="14"/>
      <c r="J42" s="14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4">
        <f t="shared" si="1"/>
        <v>27120</v>
      </c>
      <c r="AH42" s="14"/>
      <c r="AI42" s="17"/>
      <c r="AJ42" s="24"/>
    </row>
    <row r="43" spans="2:36" s="12" customFormat="1" ht="39.75" customHeight="1" x14ac:dyDescent="0.25">
      <c r="B43" s="19" t="s">
        <v>116</v>
      </c>
      <c r="C43" s="15" t="s">
        <v>117</v>
      </c>
      <c r="D43" s="15">
        <v>2230</v>
      </c>
      <c r="E43" s="14">
        <v>6800</v>
      </c>
      <c r="F43" s="14" t="e">
        <f>E43+#REF!</f>
        <v>#REF!</v>
      </c>
      <c r="G43" s="14">
        <v>5406.62</v>
      </c>
      <c r="H43" s="14"/>
      <c r="I43" s="14"/>
      <c r="J43" s="14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4">
        <f t="shared" si="1"/>
        <v>5406.62</v>
      </c>
      <c r="AH43" s="14"/>
      <c r="AI43" s="17"/>
      <c r="AJ43" s="24"/>
    </row>
    <row r="44" spans="2:36" s="12" customFormat="1" ht="39.75" customHeight="1" x14ac:dyDescent="0.25">
      <c r="B44" s="19" t="s">
        <v>118</v>
      </c>
      <c r="C44" s="15" t="s">
        <v>119</v>
      </c>
      <c r="D44" s="15">
        <v>2230</v>
      </c>
      <c r="E44" s="14">
        <v>6229</v>
      </c>
      <c r="F44" s="14" t="e">
        <f>E44+#REF!</f>
        <v>#REF!</v>
      </c>
      <c r="G44" s="14">
        <v>900</v>
      </c>
      <c r="H44" s="14"/>
      <c r="I44" s="14"/>
      <c r="J44" s="14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4">
        <f t="shared" si="1"/>
        <v>900</v>
      </c>
      <c r="AH44" s="14"/>
      <c r="AI44" s="17"/>
      <c r="AJ44" s="24"/>
    </row>
    <row r="45" spans="2:36" s="12" customFormat="1" ht="16.5" x14ac:dyDescent="0.25">
      <c r="B45" s="19" t="s">
        <v>120</v>
      </c>
      <c r="C45" s="15" t="s">
        <v>121</v>
      </c>
      <c r="D45" s="15">
        <v>2230</v>
      </c>
      <c r="E45" s="14">
        <v>8897.6</v>
      </c>
      <c r="F45" s="14" t="e">
        <f>E45+#REF!</f>
        <v>#REF!</v>
      </c>
      <c r="G45" s="14">
        <v>12806.4</v>
      </c>
      <c r="H45" s="14"/>
      <c r="I45" s="14"/>
      <c r="J45" s="14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4">
        <f t="shared" si="1"/>
        <v>12806.4</v>
      </c>
      <c r="AH45" s="14"/>
      <c r="AI45" s="17"/>
      <c r="AJ45" s="24"/>
    </row>
    <row r="46" spans="2:36" s="12" customFormat="1" ht="49.5" x14ac:dyDescent="0.25">
      <c r="B46" s="19" t="s">
        <v>122</v>
      </c>
      <c r="C46" s="15" t="s">
        <v>123</v>
      </c>
      <c r="D46" s="15">
        <v>2230</v>
      </c>
      <c r="E46" s="14">
        <v>4353.3500000000004</v>
      </c>
      <c r="F46" s="14" t="e">
        <f>E46+#REF!</f>
        <v>#REF!</v>
      </c>
      <c r="G46" s="14">
        <v>6360</v>
      </c>
      <c r="H46" s="14"/>
      <c r="I46" s="14"/>
      <c r="J46" s="14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4">
        <f t="shared" si="1"/>
        <v>6360</v>
      </c>
      <c r="AH46" s="14"/>
      <c r="AI46" s="17"/>
      <c r="AJ46" s="24"/>
    </row>
    <row r="47" spans="2:36" s="12" customFormat="1" ht="33" x14ac:dyDescent="0.25">
      <c r="B47" s="19" t="s">
        <v>124</v>
      </c>
      <c r="C47" s="15" t="s">
        <v>125</v>
      </c>
      <c r="D47" s="15">
        <v>2230</v>
      </c>
      <c r="E47" s="14">
        <f>4.5*300</f>
        <v>1350</v>
      </c>
      <c r="F47" s="14" t="e">
        <f>E47+#REF!</f>
        <v>#REF!</v>
      </c>
      <c r="G47" s="14">
        <v>1300</v>
      </c>
      <c r="H47" s="14"/>
      <c r="I47" s="14"/>
      <c r="J47" s="14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4">
        <f t="shared" si="1"/>
        <v>1300</v>
      </c>
      <c r="AH47" s="14"/>
      <c r="AI47" s="17"/>
      <c r="AJ47" s="24"/>
    </row>
    <row r="48" spans="2:36" s="12" customFormat="1" ht="33" x14ac:dyDescent="0.25">
      <c r="B48" s="19" t="s">
        <v>126</v>
      </c>
      <c r="C48" s="15" t="s">
        <v>127</v>
      </c>
      <c r="D48" s="15">
        <v>2230</v>
      </c>
      <c r="E48" s="14">
        <v>14150.5</v>
      </c>
      <c r="F48" s="14" t="e">
        <f>E48+#REF!</f>
        <v>#REF!</v>
      </c>
      <c r="G48" s="14">
        <v>10840</v>
      </c>
      <c r="H48" s="14"/>
      <c r="I48" s="14"/>
      <c r="J48" s="14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4">
        <f t="shared" si="1"/>
        <v>10840</v>
      </c>
      <c r="AH48" s="14"/>
      <c r="AI48" s="17"/>
      <c r="AJ48" s="24"/>
    </row>
    <row r="49" spans="2:36" s="12" customFormat="1" ht="66.75" customHeight="1" x14ac:dyDescent="0.25">
      <c r="B49" s="19" t="s">
        <v>128</v>
      </c>
      <c r="C49" s="15" t="s">
        <v>129</v>
      </c>
      <c r="D49" s="15">
        <v>2230</v>
      </c>
      <c r="E49" s="14">
        <f>5.65*3600+5.48*810</f>
        <v>24778.799999999999</v>
      </c>
      <c r="F49" s="14" t="e">
        <f>E49+#REF!</f>
        <v>#REF!</v>
      </c>
      <c r="G49" s="14">
        <v>19996</v>
      </c>
      <c r="H49" s="14"/>
      <c r="I49" s="14"/>
      <c r="J49" s="14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4">
        <f t="shared" si="1"/>
        <v>19996</v>
      </c>
      <c r="AH49" s="14"/>
      <c r="AI49" s="17"/>
      <c r="AJ49" s="24"/>
    </row>
    <row r="50" spans="2:36" s="12" customFormat="1" ht="65.25" customHeight="1" x14ac:dyDescent="0.25">
      <c r="B50" s="19" t="s">
        <v>130</v>
      </c>
      <c r="C50" s="15" t="s">
        <v>131</v>
      </c>
      <c r="D50" s="15">
        <v>2230</v>
      </c>
      <c r="E50" s="14">
        <v>3010</v>
      </c>
      <c r="F50" s="14" t="e">
        <f>E50+#REF!</f>
        <v>#REF!</v>
      </c>
      <c r="G50" s="14">
        <v>3360</v>
      </c>
      <c r="H50" s="14"/>
      <c r="I50" s="14"/>
      <c r="J50" s="14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4">
        <f t="shared" si="1"/>
        <v>3360</v>
      </c>
      <c r="AH50" s="14"/>
      <c r="AI50" s="17"/>
      <c r="AJ50" s="24"/>
    </row>
    <row r="51" spans="2:36" s="12" customFormat="1" ht="16.5" x14ac:dyDescent="0.25">
      <c r="B51" s="19" t="s">
        <v>132</v>
      </c>
      <c r="C51" s="15" t="s">
        <v>133</v>
      </c>
      <c r="D51" s="15">
        <v>2230</v>
      </c>
      <c r="E51" s="14">
        <f>74.15-0.4</f>
        <v>73.75</v>
      </c>
      <c r="F51" s="14" t="e">
        <f>E51+#REF!</f>
        <v>#REF!</v>
      </c>
      <c r="G51" s="14">
        <v>122</v>
      </c>
      <c r="H51" s="14"/>
      <c r="I51" s="14"/>
      <c r="J51" s="14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4">
        <f t="shared" si="1"/>
        <v>122</v>
      </c>
      <c r="AH51" s="14"/>
      <c r="AI51" s="17"/>
      <c r="AJ51" s="24"/>
    </row>
    <row r="52" spans="2:36" s="12" customFormat="1" ht="49.5" x14ac:dyDescent="0.25">
      <c r="B52" s="19" t="s">
        <v>134</v>
      </c>
      <c r="C52" s="15" t="s">
        <v>135</v>
      </c>
      <c r="D52" s="15">
        <v>2230</v>
      </c>
      <c r="E52" s="14">
        <v>2560</v>
      </c>
      <c r="F52" s="14" t="e">
        <f>E52+#REF!</f>
        <v>#REF!</v>
      </c>
      <c r="G52" s="14">
        <v>1240</v>
      </c>
      <c r="H52" s="14"/>
      <c r="I52" s="14"/>
      <c r="J52" s="14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4">
        <f t="shared" si="1"/>
        <v>1240</v>
      </c>
      <c r="AH52" s="14"/>
      <c r="AI52" s="17"/>
      <c r="AJ52" s="24"/>
    </row>
    <row r="53" spans="2:36" s="12" customFormat="1" ht="16.5" x14ac:dyDescent="0.25">
      <c r="B53" s="19" t="s">
        <v>136</v>
      </c>
      <c r="C53" s="15" t="s">
        <v>137</v>
      </c>
      <c r="D53" s="15">
        <v>2230</v>
      </c>
      <c r="E53" s="14">
        <f>84*1</f>
        <v>84</v>
      </c>
      <c r="F53" s="14" t="e">
        <f>E53+#REF!</f>
        <v>#REF!</v>
      </c>
      <c r="G53" s="14">
        <v>100</v>
      </c>
      <c r="H53" s="14"/>
      <c r="I53" s="14"/>
      <c r="J53" s="14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4">
        <f t="shared" si="1"/>
        <v>100</v>
      </c>
      <c r="AH53" s="14"/>
      <c r="AI53" s="17"/>
      <c r="AJ53" s="24"/>
    </row>
    <row r="54" spans="2:36" s="12" customFormat="1" ht="16.5" x14ac:dyDescent="0.25">
      <c r="B54" s="19" t="s">
        <v>138</v>
      </c>
      <c r="C54" s="15" t="s">
        <v>139</v>
      </c>
      <c r="D54" s="15">
        <v>2230</v>
      </c>
      <c r="E54" s="14">
        <f>2.2*50</f>
        <v>110.00000000000001</v>
      </c>
      <c r="F54" s="14" t="e">
        <f>E54+#REF!</f>
        <v>#REF!</v>
      </c>
      <c r="G54" s="14">
        <v>500</v>
      </c>
      <c r="H54" s="14"/>
      <c r="I54" s="14"/>
      <c r="J54" s="14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4">
        <f t="shared" si="1"/>
        <v>500</v>
      </c>
      <c r="AH54" s="14"/>
      <c r="AI54" s="17"/>
      <c r="AJ54" s="24"/>
    </row>
    <row r="55" spans="2:36" s="12" customFormat="1" ht="72.75" customHeight="1" x14ac:dyDescent="0.25">
      <c r="B55" s="19" t="s">
        <v>140</v>
      </c>
      <c r="C55" s="15" t="s">
        <v>141</v>
      </c>
      <c r="D55" s="15">
        <v>2230</v>
      </c>
      <c r="E55" s="14">
        <v>23.85</v>
      </c>
      <c r="F55" s="14" t="e">
        <f>E55+#REF!</f>
        <v>#REF!</v>
      </c>
      <c r="G55" s="14">
        <v>19</v>
      </c>
      <c r="H55" s="14"/>
      <c r="I55" s="14"/>
      <c r="J55" s="14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4">
        <f t="shared" si="1"/>
        <v>19</v>
      </c>
      <c r="AH55" s="14"/>
      <c r="AI55" s="17"/>
      <c r="AJ55" s="24"/>
    </row>
    <row r="56" spans="2:36" s="12" customFormat="1" ht="57" customHeight="1" x14ac:dyDescent="0.25">
      <c r="B56" s="19" t="s">
        <v>142</v>
      </c>
      <c r="C56" s="15" t="s">
        <v>143</v>
      </c>
      <c r="D56" s="15">
        <v>2230</v>
      </c>
      <c r="E56" s="14">
        <f>10.8*60</f>
        <v>648</v>
      </c>
      <c r="F56" s="14" t="e">
        <f>E56+#REF!</f>
        <v>#REF!</v>
      </c>
      <c r="G56" s="14">
        <v>756</v>
      </c>
      <c r="H56" s="14"/>
      <c r="I56" s="14"/>
      <c r="J56" s="14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4">
        <f t="shared" si="1"/>
        <v>756</v>
      </c>
      <c r="AH56" s="14"/>
      <c r="AI56" s="17"/>
      <c r="AJ56" s="24"/>
    </row>
    <row r="57" spans="2:36" s="12" customFormat="1" ht="16.5" x14ac:dyDescent="0.25">
      <c r="B57" s="22" t="s">
        <v>144</v>
      </c>
      <c r="C57" s="15"/>
      <c r="D57" s="15"/>
      <c r="E57" s="17">
        <f>SUM(E36:E56)</f>
        <v>189006.25</v>
      </c>
      <c r="F57" s="17" t="e">
        <f>SUM(F36:F56)</f>
        <v>#REF!</v>
      </c>
      <c r="G57" s="17">
        <f>SUM(G36:G56)</f>
        <v>194999.99999999997</v>
      </c>
      <c r="H57" s="17">
        <f t="shared" ref="H57:AH57" si="2">SUM(H36:H56)</f>
        <v>0</v>
      </c>
      <c r="I57" s="17">
        <f t="shared" si="2"/>
        <v>0</v>
      </c>
      <c r="J57" s="17">
        <f t="shared" si="2"/>
        <v>0</v>
      </c>
      <c r="K57" s="17">
        <f t="shared" si="2"/>
        <v>0</v>
      </c>
      <c r="L57" s="17">
        <f t="shared" si="2"/>
        <v>0</v>
      </c>
      <c r="M57" s="17">
        <f t="shared" si="2"/>
        <v>0</v>
      </c>
      <c r="N57" s="17">
        <f t="shared" si="2"/>
        <v>0</v>
      </c>
      <c r="O57" s="17">
        <f t="shared" si="2"/>
        <v>0</v>
      </c>
      <c r="P57" s="17">
        <f t="shared" si="2"/>
        <v>0</v>
      </c>
      <c r="Q57" s="17">
        <f t="shared" si="2"/>
        <v>0</v>
      </c>
      <c r="R57" s="17">
        <f t="shared" si="2"/>
        <v>0</v>
      </c>
      <c r="S57" s="17">
        <f t="shared" si="2"/>
        <v>0</v>
      </c>
      <c r="T57" s="17">
        <f t="shared" si="2"/>
        <v>0</v>
      </c>
      <c r="U57" s="17">
        <f t="shared" si="2"/>
        <v>0</v>
      </c>
      <c r="V57" s="17">
        <f t="shared" si="2"/>
        <v>0</v>
      </c>
      <c r="W57" s="17">
        <f t="shared" si="2"/>
        <v>0</v>
      </c>
      <c r="X57" s="17">
        <f t="shared" si="2"/>
        <v>0</v>
      </c>
      <c r="Y57" s="17">
        <f t="shared" si="2"/>
        <v>0</v>
      </c>
      <c r="Z57" s="17">
        <f t="shared" si="2"/>
        <v>0</v>
      </c>
      <c r="AA57" s="17">
        <f t="shared" si="2"/>
        <v>0</v>
      </c>
      <c r="AB57" s="17">
        <f t="shared" si="2"/>
        <v>0</v>
      </c>
      <c r="AC57" s="17">
        <f t="shared" si="2"/>
        <v>0</v>
      </c>
      <c r="AD57" s="17">
        <f t="shared" si="2"/>
        <v>0</v>
      </c>
      <c r="AE57" s="17">
        <f t="shared" si="2"/>
        <v>0</v>
      </c>
      <c r="AF57" s="17">
        <f t="shared" si="2"/>
        <v>0</v>
      </c>
      <c r="AG57" s="17">
        <f>SUM(AG36:AG56)</f>
        <v>194999.99999999997</v>
      </c>
      <c r="AH57" s="17">
        <f t="shared" si="2"/>
        <v>0</v>
      </c>
      <c r="AI57" s="17"/>
      <c r="AJ57" s="18"/>
    </row>
    <row r="58" spans="2:36" s="12" customFormat="1" ht="57" customHeight="1" x14ac:dyDescent="0.25">
      <c r="B58" s="19" t="s">
        <v>145</v>
      </c>
      <c r="C58" s="15" t="s">
        <v>146</v>
      </c>
      <c r="D58" s="15">
        <v>2240</v>
      </c>
      <c r="E58" s="14"/>
      <c r="F58" s="14" t="e">
        <f>E58+#REF!</f>
        <v>#REF!</v>
      </c>
      <c r="G58" s="14">
        <v>500</v>
      </c>
      <c r="H58" s="14"/>
      <c r="I58" s="14"/>
      <c r="J58" s="14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4">
        <f t="shared" si="1"/>
        <v>500</v>
      </c>
      <c r="AH58" s="16"/>
      <c r="AI58" s="17"/>
      <c r="AJ58" s="24"/>
    </row>
    <row r="59" spans="2:36" s="12" customFormat="1" ht="57" customHeight="1" x14ac:dyDescent="0.25">
      <c r="B59" s="29" t="s">
        <v>147</v>
      </c>
      <c r="C59" s="15" t="s">
        <v>148</v>
      </c>
      <c r="D59" s="15">
        <v>2240</v>
      </c>
      <c r="E59" s="14"/>
      <c r="F59" s="14"/>
      <c r="G59" s="14">
        <v>0</v>
      </c>
      <c r="I59" s="14">
        <v>5425.32</v>
      </c>
      <c r="J59" s="14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4">
        <f t="shared" si="1"/>
        <v>5425.32</v>
      </c>
      <c r="AH59" s="16"/>
      <c r="AI59" s="17"/>
      <c r="AJ59" s="18" t="s">
        <v>149</v>
      </c>
    </row>
    <row r="60" spans="2:36" s="12" customFormat="1" ht="57" customHeight="1" x14ac:dyDescent="0.25">
      <c r="B60" s="29" t="s">
        <v>150</v>
      </c>
      <c r="C60" s="15" t="s">
        <v>151</v>
      </c>
      <c r="D60" s="15">
        <v>2240</v>
      </c>
      <c r="E60" s="14"/>
      <c r="F60" s="14"/>
      <c r="G60" s="14">
        <v>0</v>
      </c>
      <c r="H60" s="14"/>
      <c r="I60" s="14"/>
      <c r="J60" s="14">
        <v>3840</v>
      </c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4">
        <f t="shared" si="1"/>
        <v>3840</v>
      </c>
      <c r="AH60" s="16"/>
      <c r="AI60" s="17"/>
      <c r="AJ60" s="18" t="s">
        <v>152</v>
      </c>
    </row>
    <row r="61" spans="2:36" s="12" customFormat="1" ht="57" customHeight="1" x14ac:dyDescent="0.25">
      <c r="B61" s="19" t="s">
        <v>153</v>
      </c>
      <c r="C61" s="15" t="s">
        <v>154</v>
      </c>
      <c r="D61" s="15">
        <v>2240</v>
      </c>
      <c r="E61" s="14"/>
      <c r="F61" s="14" t="e">
        <f>E61+#REF!</f>
        <v>#REF!</v>
      </c>
      <c r="G61" s="14">
        <v>0</v>
      </c>
      <c r="H61" s="14"/>
      <c r="I61" s="14">
        <v>5597.28</v>
      </c>
      <c r="J61" s="14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4">
        <f t="shared" si="1"/>
        <v>5597.28</v>
      </c>
      <c r="AH61" s="16"/>
      <c r="AI61" s="17"/>
      <c r="AJ61" s="18" t="s">
        <v>155</v>
      </c>
    </row>
    <row r="62" spans="2:36" s="12" customFormat="1" ht="53.25" customHeight="1" x14ac:dyDescent="0.25">
      <c r="B62" s="19" t="s">
        <v>156</v>
      </c>
      <c r="C62" s="15" t="s">
        <v>157</v>
      </c>
      <c r="D62" s="15">
        <v>2240</v>
      </c>
      <c r="E62" s="14"/>
      <c r="F62" s="14" t="e">
        <f>E62+#REF!</f>
        <v>#REF!</v>
      </c>
      <c r="G62" s="14">
        <v>4000</v>
      </c>
      <c r="H62" s="14"/>
      <c r="I62" s="14">
        <f>1597.28-5597.28</f>
        <v>-4000</v>
      </c>
      <c r="J62" s="14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4">
        <f t="shared" si="1"/>
        <v>0</v>
      </c>
      <c r="AH62" s="16"/>
      <c r="AI62" s="17"/>
      <c r="AJ62" s="18" t="s">
        <v>158</v>
      </c>
    </row>
    <row r="63" spans="2:36" s="12" customFormat="1" ht="54" customHeight="1" x14ac:dyDescent="0.25">
      <c r="B63" s="19" t="s">
        <v>159</v>
      </c>
      <c r="C63" s="15" t="s">
        <v>160</v>
      </c>
      <c r="D63" s="15">
        <v>2240</v>
      </c>
      <c r="E63" s="14"/>
      <c r="F63" s="14" t="e">
        <f>E63+#REF!</f>
        <v>#REF!</v>
      </c>
      <c r="G63" s="14">
        <v>4000</v>
      </c>
      <c r="H63" s="14"/>
      <c r="I63" s="14"/>
      <c r="J63" s="14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4">
        <f t="shared" si="1"/>
        <v>4000</v>
      </c>
      <c r="AH63" s="16"/>
      <c r="AI63" s="17"/>
      <c r="AJ63" s="24"/>
    </row>
    <row r="64" spans="2:36" s="12" customFormat="1" ht="60.75" customHeight="1" x14ac:dyDescent="0.25">
      <c r="B64" s="19" t="s">
        <v>161</v>
      </c>
      <c r="C64" s="15" t="s">
        <v>162</v>
      </c>
      <c r="D64" s="15">
        <v>2240</v>
      </c>
      <c r="E64" s="14"/>
      <c r="F64" s="14" t="e">
        <f>E64+#REF!</f>
        <v>#REF!</v>
      </c>
      <c r="G64" s="14">
        <v>300</v>
      </c>
      <c r="H64" s="14"/>
      <c r="I64" s="14"/>
      <c r="J64" s="14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4">
        <f t="shared" si="1"/>
        <v>300</v>
      </c>
      <c r="AH64" s="16"/>
      <c r="AI64" s="17"/>
      <c r="AJ64" s="24"/>
    </row>
    <row r="65" spans="2:36" s="12" customFormat="1" ht="31.5" x14ac:dyDescent="0.25">
      <c r="B65" s="13" t="s">
        <v>163</v>
      </c>
      <c r="C65" s="15" t="s">
        <v>164</v>
      </c>
      <c r="D65" s="15">
        <v>2240</v>
      </c>
      <c r="E65" s="14">
        <v>3000</v>
      </c>
      <c r="F65" s="14" t="e">
        <f>E65+#REF!</f>
        <v>#REF!</v>
      </c>
      <c r="G65" s="14">
        <v>5100</v>
      </c>
      <c r="H65" s="14"/>
      <c r="I65" s="14">
        <v>180</v>
      </c>
      <c r="J65" s="14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4">
        <f t="shared" si="1"/>
        <v>5280</v>
      </c>
      <c r="AH65" s="14"/>
      <c r="AI65" s="17"/>
      <c r="AJ65" s="18" t="s">
        <v>165</v>
      </c>
    </row>
    <row r="66" spans="2:36" s="12" customFormat="1" ht="60.75" customHeight="1" x14ac:dyDescent="0.25">
      <c r="B66" s="13" t="s">
        <v>166</v>
      </c>
      <c r="C66" s="15" t="s">
        <v>167</v>
      </c>
      <c r="D66" s="15">
        <v>2240</v>
      </c>
      <c r="E66" s="14"/>
      <c r="F66" s="14" t="e">
        <f>E66+#REF!</f>
        <v>#REF!</v>
      </c>
      <c r="G66" s="14">
        <v>1000</v>
      </c>
      <c r="H66" s="14"/>
      <c r="I66" s="14"/>
      <c r="J66" s="14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4">
        <f t="shared" si="1"/>
        <v>1000</v>
      </c>
      <c r="AH66" s="16"/>
      <c r="AI66" s="17"/>
      <c r="AJ66" s="18"/>
    </row>
    <row r="67" spans="2:36" s="12" customFormat="1" ht="53.25" customHeight="1" x14ac:dyDescent="0.25">
      <c r="B67" s="13" t="s">
        <v>168</v>
      </c>
      <c r="C67" s="15" t="s">
        <v>169</v>
      </c>
      <c r="D67" s="15">
        <v>2240</v>
      </c>
      <c r="E67" s="14"/>
      <c r="F67" s="14" t="e">
        <f>E67+#REF!</f>
        <v>#REF!</v>
      </c>
      <c r="G67" s="14">
        <v>750</v>
      </c>
      <c r="H67" s="14"/>
      <c r="I67" s="14"/>
      <c r="J67" s="14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4">
        <f t="shared" si="1"/>
        <v>750</v>
      </c>
      <c r="AH67" s="16"/>
      <c r="AI67" s="17"/>
      <c r="AJ67" s="18"/>
    </row>
    <row r="68" spans="2:36" s="12" customFormat="1" ht="57" customHeight="1" x14ac:dyDescent="0.25">
      <c r="B68" s="13" t="s">
        <v>170</v>
      </c>
      <c r="C68" s="15" t="s">
        <v>171</v>
      </c>
      <c r="D68" s="15">
        <v>2240</v>
      </c>
      <c r="E68" s="14"/>
      <c r="F68" s="14" t="e">
        <f>E68+#REF!</f>
        <v>#REF!</v>
      </c>
      <c r="G68" s="14">
        <v>2500</v>
      </c>
      <c r="H68" s="14"/>
      <c r="I68" s="14"/>
      <c r="J68" s="14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4">
        <f t="shared" si="1"/>
        <v>2500</v>
      </c>
      <c r="AH68" s="16"/>
      <c r="AI68" s="17"/>
      <c r="AJ68" s="18"/>
    </row>
    <row r="69" spans="2:36" s="12" customFormat="1" ht="94.5" x14ac:dyDescent="0.25">
      <c r="B69" s="13" t="s">
        <v>172</v>
      </c>
      <c r="C69" s="15" t="s">
        <v>173</v>
      </c>
      <c r="D69" s="15">
        <v>2240</v>
      </c>
      <c r="E69" s="14"/>
      <c r="F69" s="14" t="e">
        <f>E69+#REF!</f>
        <v>#REF!</v>
      </c>
      <c r="G69" s="14">
        <v>270</v>
      </c>
      <c r="H69" s="14"/>
      <c r="I69" s="14"/>
      <c r="J69" s="14">
        <v>312</v>
      </c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4">
        <f t="shared" si="1"/>
        <v>582</v>
      </c>
      <c r="AH69" s="16"/>
      <c r="AI69" s="17"/>
      <c r="AJ69" s="18" t="s">
        <v>174</v>
      </c>
    </row>
    <row r="70" spans="2:36" s="12" customFormat="1" ht="56.25" customHeight="1" x14ac:dyDescent="0.25">
      <c r="B70" s="13" t="s">
        <v>175</v>
      </c>
      <c r="C70" s="15" t="s">
        <v>176</v>
      </c>
      <c r="D70" s="15">
        <v>2240</v>
      </c>
      <c r="E70" s="14"/>
      <c r="F70" s="14" t="e">
        <f>E70+#REF!</f>
        <v>#REF!</v>
      </c>
      <c r="G70" s="14">
        <v>750</v>
      </c>
      <c r="H70" s="14"/>
      <c r="I70" s="14"/>
      <c r="J70" s="14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4">
        <f t="shared" si="1"/>
        <v>750</v>
      </c>
      <c r="AH70" s="16"/>
      <c r="AI70" s="17"/>
      <c r="AJ70" s="18"/>
    </row>
    <row r="71" spans="2:36" s="12" customFormat="1" ht="56.25" customHeight="1" x14ac:dyDescent="0.25">
      <c r="B71" s="13" t="s">
        <v>177</v>
      </c>
      <c r="C71" s="15" t="s">
        <v>178</v>
      </c>
      <c r="D71" s="15">
        <v>2240</v>
      </c>
      <c r="E71" s="14"/>
      <c r="F71" s="14" t="e">
        <f>E71+#REF!</f>
        <v>#REF!</v>
      </c>
      <c r="G71" s="14">
        <v>3500</v>
      </c>
      <c r="H71" s="14"/>
      <c r="I71" s="14"/>
      <c r="J71" s="14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4">
        <f t="shared" si="1"/>
        <v>3500</v>
      </c>
      <c r="AH71" s="16"/>
      <c r="AI71" s="17"/>
      <c r="AJ71" s="18"/>
    </row>
    <row r="72" spans="2:36" s="12" customFormat="1" ht="56.25" customHeight="1" x14ac:dyDescent="0.25">
      <c r="B72" s="13" t="s">
        <v>179</v>
      </c>
      <c r="C72" s="15" t="s">
        <v>180</v>
      </c>
      <c r="D72" s="15">
        <v>2240</v>
      </c>
      <c r="E72" s="14"/>
      <c r="F72" s="14" t="e">
        <f>E72+#REF!</f>
        <v>#REF!</v>
      </c>
      <c r="G72" s="14">
        <v>400</v>
      </c>
      <c r="H72" s="14"/>
      <c r="I72" s="14"/>
      <c r="J72" s="14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4">
        <f t="shared" si="1"/>
        <v>400</v>
      </c>
      <c r="AH72" s="16"/>
      <c r="AI72" s="17"/>
      <c r="AJ72" s="18"/>
    </row>
    <row r="73" spans="2:36" s="12" customFormat="1" ht="56.25" customHeight="1" x14ac:dyDescent="0.25">
      <c r="B73" s="13" t="s">
        <v>181</v>
      </c>
      <c r="C73" s="15" t="s">
        <v>182</v>
      </c>
      <c r="D73" s="15">
        <v>2240</v>
      </c>
      <c r="E73" s="14"/>
      <c r="F73" s="14" t="e">
        <f>E73+#REF!</f>
        <v>#REF!</v>
      </c>
      <c r="G73" s="14">
        <v>1400</v>
      </c>
      <c r="H73" s="14"/>
      <c r="I73" s="14"/>
      <c r="J73" s="14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4">
        <f t="shared" si="1"/>
        <v>1400</v>
      </c>
      <c r="AH73" s="16"/>
      <c r="AI73" s="17"/>
      <c r="AJ73" s="18"/>
    </row>
    <row r="74" spans="2:36" s="12" customFormat="1" ht="56.25" customHeight="1" x14ac:dyDescent="0.25">
      <c r="B74" s="13" t="s">
        <v>183</v>
      </c>
      <c r="C74" s="15" t="s">
        <v>184</v>
      </c>
      <c r="D74" s="15">
        <v>2240</v>
      </c>
      <c r="E74" s="14"/>
      <c r="F74" s="14" t="e">
        <f>E74+#REF!</f>
        <v>#REF!</v>
      </c>
      <c r="G74" s="14">
        <v>5000</v>
      </c>
      <c r="H74" s="14"/>
      <c r="I74" s="14"/>
      <c r="J74" s="14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4">
        <f t="shared" si="1"/>
        <v>5000</v>
      </c>
      <c r="AH74" s="16"/>
      <c r="AI74" s="17"/>
      <c r="AJ74" s="18"/>
    </row>
    <row r="75" spans="2:36" s="12" customFormat="1" ht="56.25" customHeight="1" x14ac:dyDescent="0.25">
      <c r="B75" s="13" t="s">
        <v>185</v>
      </c>
      <c r="C75" s="15" t="s">
        <v>186</v>
      </c>
      <c r="D75" s="15">
        <v>2240</v>
      </c>
      <c r="E75" s="14"/>
      <c r="F75" s="14" t="e">
        <f>E75+#REF!</f>
        <v>#REF!</v>
      </c>
      <c r="G75" s="14">
        <v>500</v>
      </c>
      <c r="H75" s="14"/>
      <c r="I75" s="14"/>
      <c r="J75" s="14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4">
        <f t="shared" si="1"/>
        <v>500</v>
      </c>
      <c r="AH75" s="16"/>
      <c r="AI75" s="17"/>
      <c r="AJ75" s="18"/>
    </row>
    <row r="76" spans="2:36" s="12" customFormat="1" ht="56.25" customHeight="1" x14ac:dyDescent="0.25">
      <c r="B76" s="13" t="s">
        <v>187</v>
      </c>
      <c r="C76" s="15" t="s">
        <v>188</v>
      </c>
      <c r="D76" s="15">
        <v>2240</v>
      </c>
      <c r="E76" s="14"/>
      <c r="F76" s="14"/>
      <c r="G76" s="14">
        <v>0</v>
      </c>
      <c r="H76" s="14"/>
      <c r="I76" s="14"/>
      <c r="J76" s="14">
        <v>2891.4</v>
      </c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4">
        <f t="shared" si="1"/>
        <v>2891.4</v>
      </c>
      <c r="AH76" s="16"/>
      <c r="AI76" s="17"/>
      <c r="AJ76" s="18" t="s">
        <v>189</v>
      </c>
    </row>
    <row r="77" spans="2:36" s="12" customFormat="1" ht="56.25" customHeight="1" x14ac:dyDescent="0.25">
      <c r="B77" s="13" t="s">
        <v>190</v>
      </c>
      <c r="C77" s="15" t="s">
        <v>191</v>
      </c>
      <c r="D77" s="15">
        <v>2240</v>
      </c>
      <c r="E77" s="14"/>
      <c r="F77" s="14" t="e">
        <f>E77+#REF!</f>
        <v>#REF!</v>
      </c>
      <c r="G77" s="14">
        <v>1000</v>
      </c>
      <c r="H77" s="14"/>
      <c r="I77" s="14"/>
      <c r="J77" s="14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4">
        <f t="shared" si="1"/>
        <v>1000</v>
      </c>
      <c r="AH77" s="16"/>
      <c r="AI77" s="17"/>
      <c r="AJ77" s="18"/>
    </row>
    <row r="78" spans="2:36" s="12" customFormat="1" ht="31.5" x14ac:dyDescent="0.25">
      <c r="B78" s="13" t="s">
        <v>192</v>
      </c>
      <c r="C78" s="15" t="s">
        <v>193</v>
      </c>
      <c r="D78" s="15">
        <v>2240</v>
      </c>
      <c r="E78" s="14"/>
      <c r="F78" s="14" t="e">
        <f>E78+#REF!</f>
        <v>#REF!</v>
      </c>
      <c r="G78" s="14">
        <v>1600</v>
      </c>
      <c r="H78" s="14"/>
      <c r="I78" s="14">
        <v>3800</v>
      </c>
      <c r="J78" s="14">
        <v>-2891.4</v>
      </c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4">
        <f t="shared" si="1"/>
        <v>2508.6</v>
      </c>
      <c r="AH78" s="16"/>
      <c r="AI78" s="17"/>
      <c r="AJ78" s="18" t="s">
        <v>194</v>
      </c>
    </row>
    <row r="79" spans="2:36" s="12" customFormat="1" ht="56.25" customHeight="1" x14ac:dyDescent="0.25">
      <c r="B79" s="13" t="s">
        <v>195</v>
      </c>
      <c r="C79" s="15" t="s">
        <v>196</v>
      </c>
      <c r="D79" s="15">
        <v>2240</v>
      </c>
      <c r="E79" s="14"/>
      <c r="F79" s="14" t="e">
        <f>E79+#REF!</f>
        <v>#REF!</v>
      </c>
      <c r="G79" s="14">
        <v>1000</v>
      </c>
      <c r="H79" s="14"/>
      <c r="I79" s="14"/>
      <c r="J79" s="14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4">
        <f t="shared" si="1"/>
        <v>1000</v>
      </c>
      <c r="AH79" s="16"/>
      <c r="AI79" s="17"/>
      <c r="AJ79" s="18"/>
    </row>
    <row r="80" spans="2:36" s="12" customFormat="1" ht="50.25" customHeight="1" x14ac:dyDescent="0.25">
      <c r="B80" s="13" t="s">
        <v>197</v>
      </c>
      <c r="C80" s="15" t="s">
        <v>198</v>
      </c>
      <c r="D80" s="15">
        <v>2240</v>
      </c>
      <c r="E80" s="14"/>
      <c r="F80" s="14" t="e">
        <f>E80+#REF!</f>
        <v>#REF!</v>
      </c>
      <c r="G80" s="14">
        <v>1000</v>
      </c>
      <c r="H80" s="14">
        <v>9900</v>
      </c>
      <c r="I80" s="14">
        <v>1036</v>
      </c>
      <c r="J80" s="14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4">
        <f t="shared" si="1"/>
        <v>2036</v>
      </c>
      <c r="AH80" s="16"/>
      <c r="AI80" s="17"/>
      <c r="AJ80" s="18" t="s">
        <v>199</v>
      </c>
    </row>
    <row r="81" spans="1:39" s="12" customFormat="1" ht="56.25" customHeight="1" x14ac:dyDescent="0.25">
      <c r="B81" s="19" t="s">
        <v>200</v>
      </c>
      <c r="C81" s="15" t="s">
        <v>201</v>
      </c>
      <c r="D81" s="15">
        <v>2240</v>
      </c>
      <c r="E81" s="14"/>
      <c r="F81" s="14" t="e">
        <f>E81+#REF!</f>
        <v>#REF!</v>
      </c>
      <c r="G81" s="14">
        <f>18589+3250</f>
        <v>21839</v>
      </c>
      <c r="H81" s="14"/>
      <c r="I81" s="14"/>
      <c r="J81" s="14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4">
        <f t="shared" si="1"/>
        <v>21839</v>
      </c>
      <c r="AH81" s="16"/>
      <c r="AI81" s="17"/>
      <c r="AJ81" s="30"/>
      <c r="AK81" s="1"/>
      <c r="AL81" s="1"/>
      <c r="AM81" s="1"/>
    </row>
    <row r="82" spans="1:39" s="12" customFormat="1" ht="16.5" x14ac:dyDescent="0.25">
      <c r="B82" s="22" t="s">
        <v>202</v>
      </c>
      <c r="C82" s="15"/>
      <c r="D82" s="15"/>
      <c r="E82" s="17">
        <f>SUM(E58:E81)</f>
        <v>3000</v>
      </c>
      <c r="F82" s="17" t="e">
        <f>SUM(F58:F81)</f>
        <v>#REF!</v>
      </c>
      <c r="G82" s="17">
        <f>SUM(G58:G81)</f>
        <v>56409</v>
      </c>
      <c r="H82" s="17">
        <f t="shared" ref="H82:AF82" si="3">SUM(H58:H81)</f>
        <v>9900</v>
      </c>
      <c r="I82" s="17">
        <f t="shared" si="3"/>
        <v>12038.599999999999</v>
      </c>
      <c r="J82" s="17">
        <f t="shared" si="3"/>
        <v>4152</v>
      </c>
      <c r="K82" s="17">
        <f t="shared" si="3"/>
        <v>0</v>
      </c>
      <c r="L82" s="17">
        <f t="shared" si="3"/>
        <v>0</v>
      </c>
      <c r="M82" s="17">
        <f t="shared" si="3"/>
        <v>0</v>
      </c>
      <c r="N82" s="17">
        <f t="shared" si="3"/>
        <v>0</v>
      </c>
      <c r="O82" s="17">
        <f t="shared" si="3"/>
        <v>0</v>
      </c>
      <c r="P82" s="17">
        <f t="shared" si="3"/>
        <v>0</v>
      </c>
      <c r="Q82" s="17">
        <f t="shared" si="3"/>
        <v>0</v>
      </c>
      <c r="R82" s="17">
        <f t="shared" si="3"/>
        <v>0</v>
      </c>
      <c r="S82" s="17">
        <f t="shared" si="3"/>
        <v>0</v>
      </c>
      <c r="T82" s="17">
        <f t="shared" si="3"/>
        <v>0</v>
      </c>
      <c r="U82" s="17">
        <f t="shared" si="3"/>
        <v>0</v>
      </c>
      <c r="V82" s="17">
        <f t="shared" si="3"/>
        <v>0</v>
      </c>
      <c r="W82" s="17">
        <f t="shared" si="3"/>
        <v>0</v>
      </c>
      <c r="X82" s="17">
        <f t="shared" si="3"/>
        <v>0</v>
      </c>
      <c r="Y82" s="17">
        <f t="shared" si="3"/>
        <v>0</v>
      </c>
      <c r="Z82" s="17">
        <f t="shared" si="3"/>
        <v>0</v>
      </c>
      <c r="AA82" s="17">
        <f t="shared" si="3"/>
        <v>0</v>
      </c>
      <c r="AB82" s="17">
        <f t="shared" si="3"/>
        <v>0</v>
      </c>
      <c r="AC82" s="17">
        <f t="shared" si="3"/>
        <v>0</v>
      </c>
      <c r="AD82" s="17">
        <f t="shared" si="3"/>
        <v>0</v>
      </c>
      <c r="AE82" s="17">
        <f t="shared" si="3"/>
        <v>0</v>
      </c>
      <c r="AF82" s="17">
        <f t="shared" si="3"/>
        <v>0</v>
      </c>
      <c r="AG82" s="17">
        <f>SUM(AG58:AG81)</f>
        <v>72599.600000000006</v>
      </c>
      <c r="AH82" s="17"/>
      <c r="AI82" s="17"/>
      <c r="AJ82" s="31"/>
      <c r="AK82" s="1"/>
      <c r="AL82" s="1"/>
      <c r="AM82" s="1"/>
    </row>
    <row r="83" spans="1:39" s="12" customFormat="1" ht="22.5" customHeight="1" x14ac:dyDescent="0.25">
      <c r="B83" s="19" t="s">
        <v>203</v>
      </c>
      <c r="C83" s="15" t="s">
        <v>204</v>
      </c>
      <c r="D83" s="15">
        <v>2272</v>
      </c>
      <c r="E83" s="17"/>
      <c r="F83" s="17"/>
      <c r="G83" s="14">
        <v>4500</v>
      </c>
      <c r="H83" s="14"/>
      <c r="I83" s="14"/>
      <c r="J83" s="14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4">
        <f t="shared" ref="AG83:AG87" si="4">G83+I83+J83+K83+L83+L83+M83+N83+O83+P83+Q83+R83+S83+T83+U83+V83+W83+X83+Y83+Z83+AA83+AB83+AC83+AD83+AE83+AF83</f>
        <v>4500</v>
      </c>
      <c r="AH83" s="17"/>
      <c r="AI83" s="17"/>
      <c r="AJ83" s="31"/>
      <c r="AK83" s="1"/>
      <c r="AL83" s="1"/>
      <c r="AM83" s="1"/>
    </row>
    <row r="84" spans="1:39" s="12" customFormat="1" ht="23.25" customHeight="1" x14ac:dyDescent="0.25">
      <c r="B84" s="22" t="s">
        <v>205</v>
      </c>
      <c r="C84" s="15"/>
      <c r="D84" s="15"/>
      <c r="E84" s="17"/>
      <c r="F84" s="17"/>
      <c r="G84" s="17">
        <v>4500</v>
      </c>
      <c r="H84" s="14"/>
      <c r="I84" s="14"/>
      <c r="J84" s="14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16"/>
      <c r="AB84" s="16"/>
      <c r="AC84" s="16"/>
      <c r="AD84" s="16"/>
      <c r="AE84" s="16"/>
      <c r="AF84" s="16"/>
      <c r="AG84" s="17">
        <f t="shared" si="4"/>
        <v>4500</v>
      </c>
      <c r="AH84" s="17"/>
      <c r="AI84" s="17"/>
      <c r="AJ84" s="31"/>
      <c r="AK84" s="1"/>
      <c r="AL84" s="1"/>
      <c r="AM84" s="1"/>
    </row>
    <row r="85" spans="1:39" s="12" customFormat="1" ht="70.5" customHeight="1" x14ac:dyDescent="0.25">
      <c r="B85" s="19" t="s">
        <v>185</v>
      </c>
      <c r="C85" s="15" t="s">
        <v>186</v>
      </c>
      <c r="D85" s="15">
        <v>2282</v>
      </c>
      <c r="E85" s="14"/>
      <c r="F85" s="14" t="e">
        <f>E85+#REF!</f>
        <v>#REF!</v>
      </c>
      <c r="G85" s="14">
        <v>1300</v>
      </c>
      <c r="H85" s="14"/>
      <c r="I85" s="14"/>
      <c r="J85" s="14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  <c r="AA85" s="16"/>
      <c r="AB85" s="16"/>
      <c r="AC85" s="16"/>
      <c r="AD85" s="16"/>
      <c r="AE85" s="16"/>
      <c r="AF85" s="16"/>
      <c r="AG85" s="14">
        <f t="shared" si="4"/>
        <v>1300</v>
      </c>
      <c r="AH85" s="16"/>
      <c r="AI85" s="17"/>
      <c r="AJ85" s="30"/>
      <c r="AK85" s="1"/>
      <c r="AL85" s="1"/>
      <c r="AM85" s="1"/>
    </row>
    <row r="86" spans="1:39" s="12" customFormat="1" ht="16.5" x14ac:dyDescent="0.25">
      <c r="B86" s="22" t="s">
        <v>206</v>
      </c>
      <c r="C86" s="32"/>
      <c r="D86" s="32"/>
      <c r="E86" s="17"/>
      <c r="F86" s="17" t="e">
        <f>SUM(F85:F85)</f>
        <v>#REF!</v>
      </c>
      <c r="G86" s="17">
        <f>SUM(G85:G85)</f>
        <v>1300</v>
      </c>
      <c r="H86" s="14"/>
      <c r="I86" s="14"/>
      <c r="J86" s="14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7">
        <f>SUM(AG85)</f>
        <v>1300</v>
      </c>
      <c r="AH86" s="16"/>
      <c r="AI86" s="17"/>
      <c r="AJ86" s="31"/>
      <c r="AK86" s="1"/>
      <c r="AL86" s="1"/>
      <c r="AM86" s="1"/>
    </row>
    <row r="87" spans="1:39" ht="54.6" customHeight="1" x14ac:dyDescent="0.2">
      <c r="B87" s="13" t="s">
        <v>207</v>
      </c>
      <c r="C87" s="15" t="s">
        <v>208</v>
      </c>
      <c r="D87" s="15">
        <v>3110</v>
      </c>
      <c r="E87" s="21"/>
      <c r="F87" s="7">
        <v>5700</v>
      </c>
      <c r="G87" s="14">
        <v>5700</v>
      </c>
      <c r="H87" s="33"/>
      <c r="I87" s="7"/>
      <c r="J87" s="7"/>
      <c r="K87" s="7"/>
      <c r="L87" s="7"/>
      <c r="M87" s="8"/>
      <c r="N87" s="7"/>
      <c r="O87" s="7"/>
      <c r="P87" s="7"/>
      <c r="Q87" s="7"/>
      <c r="R87" s="7"/>
      <c r="S87" s="20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14">
        <f t="shared" si="4"/>
        <v>5700</v>
      </c>
      <c r="AH87" s="8"/>
      <c r="AI87" s="17"/>
      <c r="AJ87" s="34"/>
      <c r="AK87" s="2"/>
      <c r="AL87" s="2"/>
      <c r="AM87" s="2"/>
    </row>
    <row r="88" spans="1:39" s="12" customFormat="1" ht="17.25" thickBot="1" x14ac:dyDescent="0.3">
      <c r="B88" s="35" t="s">
        <v>209</v>
      </c>
      <c r="C88" s="36"/>
      <c r="D88" s="36"/>
      <c r="E88" s="37"/>
      <c r="F88" s="37">
        <v>5700</v>
      </c>
      <c r="G88" s="37">
        <f>SUM(G87)</f>
        <v>5700</v>
      </c>
      <c r="H88" s="38"/>
      <c r="I88" s="38"/>
      <c r="J88" s="38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7">
        <f>SUM(AG87)</f>
        <v>5700</v>
      </c>
      <c r="AH88" s="37"/>
      <c r="AI88" s="37"/>
      <c r="AJ88" s="40"/>
    </row>
    <row r="89" spans="1:39" ht="27.75" customHeight="1" x14ac:dyDescent="0.2">
      <c r="A89" s="2"/>
      <c r="B89" s="122" t="s">
        <v>210</v>
      </c>
      <c r="C89" s="122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41"/>
    </row>
    <row r="90" spans="1:39" ht="15.75" x14ac:dyDescent="0.25">
      <c r="B90" s="42" t="s">
        <v>211</v>
      </c>
      <c r="C90" s="42"/>
      <c r="D90" s="43" t="s">
        <v>212</v>
      </c>
      <c r="E90" s="44"/>
      <c r="F90" s="45"/>
      <c r="G90" s="46" t="s">
        <v>213</v>
      </c>
      <c r="H90" s="46"/>
      <c r="I90" s="41"/>
      <c r="J90" s="41"/>
      <c r="K90" s="41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1"/>
      <c r="AH90" s="41"/>
      <c r="AI90" s="41"/>
      <c r="AJ90" s="41"/>
    </row>
    <row r="91" spans="1:39" ht="15.75" x14ac:dyDescent="0.25">
      <c r="B91" s="42"/>
      <c r="C91" s="42"/>
      <c r="D91" s="43"/>
      <c r="E91" s="44"/>
      <c r="F91" s="45"/>
      <c r="G91" s="46"/>
      <c r="H91" s="46"/>
      <c r="I91" s="41"/>
      <c r="J91" s="41"/>
      <c r="K91" s="41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1"/>
      <c r="AH91" s="41"/>
      <c r="AI91" s="41"/>
      <c r="AJ91" s="41"/>
    </row>
    <row r="92" spans="1:39" ht="15.75" x14ac:dyDescent="0.25">
      <c r="B92" s="42"/>
      <c r="C92" s="42"/>
      <c r="D92" s="43"/>
      <c r="E92" s="44"/>
      <c r="F92" s="45"/>
      <c r="G92" s="46"/>
      <c r="H92" s="46"/>
      <c r="I92" s="41"/>
      <c r="J92" s="41"/>
      <c r="K92" s="41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1"/>
      <c r="AH92" s="41"/>
      <c r="AI92" s="41"/>
      <c r="AJ92" s="41"/>
    </row>
    <row r="93" spans="1:39" ht="15.75" x14ac:dyDescent="0.25">
      <c r="B93" s="46"/>
      <c r="C93" s="46"/>
      <c r="D93" s="47" t="s">
        <v>214</v>
      </c>
      <c r="E93" s="48"/>
      <c r="F93" s="46"/>
      <c r="G93" s="49" t="s">
        <v>215</v>
      </c>
      <c r="H93" s="49"/>
      <c r="I93" s="50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1"/>
      <c r="AH93" s="41"/>
      <c r="AI93" s="41"/>
      <c r="AJ93" s="41"/>
    </row>
    <row r="94" spans="1:39" ht="15.75" x14ac:dyDescent="0.25">
      <c r="B94" s="51" t="s">
        <v>216</v>
      </c>
      <c r="C94" s="46"/>
      <c r="D94" s="47"/>
      <c r="E94" s="48"/>
      <c r="F94" s="46"/>
      <c r="G94" s="49"/>
      <c r="H94" s="49"/>
      <c r="I94" s="50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6"/>
      <c r="AD94" s="46"/>
      <c r="AE94" s="46"/>
      <c r="AF94" s="46"/>
      <c r="AG94" s="41"/>
      <c r="AH94" s="41"/>
      <c r="AI94" s="41"/>
      <c r="AJ94" s="41"/>
    </row>
    <row r="95" spans="1:39" ht="36" customHeight="1" x14ac:dyDescent="0.25">
      <c r="B95" s="42"/>
      <c r="C95" s="42"/>
      <c r="D95" s="43"/>
      <c r="E95" s="44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1"/>
      <c r="AH95" s="41"/>
      <c r="AI95" s="41"/>
      <c r="AJ95" s="41"/>
    </row>
    <row r="96" spans="1:39" ht="27.75" customHeight="1" x14ac:dyDescent="0.25">
      <c r="C96" s="2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1"/>
      <c r="AI96" s="41"/>
      <c r="AJ96" s="41"/>
    </row>
    <row r="97" spans="2:36" ht="3" customHeight="1" x14ac:dyDescent="0.2">
      <c r="B97" s="52"/>
      <c r="C97" s="52"/>
      <c r="D97" s="53"/>
      <c r="E97" s="2"/>
      <c r="F97" s="54"/>
      <c r="G97" s="54"/>
      <c r="H97" s="5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41"/>
      <c r="AH97" s="41"/>
      <c r="AI97" s="41"/>
      <c r="AJ97" s="41"/>
    </row>
    <row r="98" spans="2:36" ht="28.9" customHeight="1" x14ac:dyDescent="0.2">
      <c r="B98" s="52"/>
      <c r="C98" s="52"/>
      <c r="D98" s="55"/>
      <c r="E98" s="56" t="e">
        <f>SUM(#REF!)+#REF!+#REF!+SUM(#REF!)+#REF!+#REF!</f>
        <v>#REF!</v>
      </c>
      <c r="F98" s="54"/>
      <c r="G98" s="57"/>
      <c r="H98" s="5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41"/>
      <c r="AH98" s="41"/>
      <c r="AI98" s="41"/>
      <c r="AJ98" s="41"/>
    </row>
    <row r="99" spans="2:36" ht="28.9" customHeight="1" x14ac:dyDescent="0.2">
      <c r="B99" s="52"/>
      <c r="C99" s="52"/>
      <c r="D99" s="53"/>
      <c r="E99" s="2"/>
      <c r="F99" s="54"/>
      <c r="G99" s="54"/>
      <c r="H99" s="5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41"/>
      <c r="AH99" s="41"/>
      <c r="AI99" s="41"/>
      <c r="AJ99" s="41"/>
    </row>
    <row r="100" spans="2:36" ht="28.9" customHeight="1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41"/>
      <c r="AH100" s="41"/>
      <c r="AI100" s="41"/>
      <c r="AJ100" s="41"/>
    </row>
    <row r="101" spans="2:36" ht="28.9" customHeight="1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41"/>
      <c r="AH101" s="41"/>
      <c r="AI101" s="41"/>
      <c r="AJ101" s="41"/>
    </row>
    <row r="102" spans="2:36" ht="38.25" customHeight="1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41"/>
      <c r="AH102" s="41"/>
      <c r="AI102" s="41"/>
      <c r="AJ102" s="41"/>
    </row>
    <row r="103" spans="2:36" ht="38.25" customHeight="1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41"/>
      <c r="AH103" s="41"/>
      <c r="AI103" s="41"/>
      <c r="AJ103" s="41"/>
    </row>
    <row r="104" spans="2:36" ht="38.25" customHeight="1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41"/>
      <c r="AH104" s="41"/>
      <c r="AI104" s="41"/>
      <c r="AJ104" s="41"/>
    </row>
    <row r="105" spans="2:36" ht="38.25" customHeight="1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41"/>
      <c r="AH105" s="41"/>
      <c r="AI105" s="41"/>
      <c r="AJ105" s="41"/>
    </row>
    <row r="106" spans="2:36" ht="38.25" customHeight="1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</sheetData>
  <mergeCells count="40">
    <mergeCell ref="AM5:AM6"/>
    <mergeCell ref="B6:C6"/>
    <mergeCell ref="B7:H7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B89:AI89"/>
    <mergeCell ref="AC4:AC5"/>
    <mergeCell ref="AD4:AD5"/>
    <mergeCell ref="AE4:AE5"/>
    <mergeCell ref="AF4:AF5"/>
    <mergeCell ref="AG4:AG5"/>
    <mergeCell ref="AH4:AH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A1:AJ1"/>
    <mergeCell ref="A2:AJ2"/>
    <mergeCell ref="A3:AJ3"/>
    <mergeCell ref="B4:C5"/>
    <mergeCell ref="D4:D5"/>
    <mergeCell ref="E4:F4"/>
    <mergeCell ref="G4:G5"/>
    <mergeCell ref="H4:H5"/>
    <mergeCell ref="I4:I5"/>
    <mergeCell ref="J4:J5"/>
    <mergeCell ref="AI4:AI5"/>
    <mergeCell ref="AJ4:AJ5"/>
  </mergeCells>
  <hyperlinks>
    <hyperlink ref="B63" r:id="rId1" display="http://dk16.dovidnyk.info/index.php?rozd=16868"/>
    <hyperlink ref="B64" r:id="rId2" display="http://dk16.dovidnyk.info/index.php?rozd=16953"/>
    <hyperlink ref="B56" r:id="rId3" display="http://dk16.dovidnyk.info/index.php?rozd=9872"/>
    <hyperlink ref="C68" r:id="rId4" display="http://dk16.dovidnyk.info/index.php?rozd=19731"/>
    <hyperlink ref="C80" r:id="rId5" display="http://dk16.dovidnyk.info/index.php?rozd=21156"/>
    <hyperlink ref="C78" r:id="rId6" display="http://dk16.dovidnyk.info/index.php?rozd=20759"/>
    <hyperlink ref="C81" r:id="rId7" display="http://dk16.dovidnyk.info/index.php?rozd=21201"/>
    <hyperlink ref="C72" r:id="rId8" display="http://dk16.dovidnyk.info/index.php?rozd=19859"/>
    <hyperlink ref="C71" r:id="rId9" display="http://dk16.dovidnyk.info/index.php?rozd=19816"/>
    <hyperlink ref="C63" r:id="rId10" display="http://dk16.dovidnyk.info/index.php?rozd=16868"/>
    <hyperlink ref="C77" r:id="rId11" display="http://dk16.dovidnyk.info/index.php?rozd=20630"/>
    <hyperlink ref="C64" r:id="rId12" display="http://dk16.dovidnyk.info/index.php?rozd=16953"/>
    <hyperlink ref="C74" r:id="rId13" display="http://dk16.dovidnyk.info/index.php?rozd=20211"/>
    <hyperlink ref="C58" r:id="rId14" display="http://dk16.dovidnyk.info/index.php?rozd=9694"/>
    <hyperlink ref="C73" r:id="rId15" display="http://dk16.dovidnyk.info/index.php?rozd=19868"/>
    <hyperlink ref="C65" r:id="rId16" display="http://dk16.dovidnyk.info/index.php?rozd=19647"/>
    <hyperlink ref="B65" r:id="rId17" display="http://dk16.dovidnyk.info/index.php?rozd=19647"/>
    <hyperlink ref="C66" r:id="rId18" display="http://dk16.dovidnyk.info/index.php?rozd=19660"/>
    <hyperlink ref="B66" r:id="rId19" display="http://dk16.dovidnyk.info/index.php?rozd=19660"/>
    <hyperlink ref="C62" r:id="rId20" display="http://dk16.dovidnyk.info/index.php?rozd=16838"/>
    <hyperlink ref="B62" r:id="rId21" display="http://dk16.dovidnyk.info/index.php?rozd=16838"/>
    <hyperlink ref="B69" r:id="rId22" display="http://dk16.dovidnyk.info/index.php?rozd=19753"/>
    <hyperlink ref="B67" r:id="rId23" display="http://dkpp.rv.ua/index.php?level=62.01.11"/>
    <hyperlink ref="B70" r:id="rId24" display="http://dkpp.rv.ua/index.php?level=63.99.1"/>
    <hyperlink ref="B77" r:id="rId25" display="http://dk16.dovidnyk.info/index.php?rozd=20630"/>
    <hyperlink ref="B75" r:id="rId26" display="http://dkpp.rv.ua/index.php?level=74.90.1"/>
    <hyperlink ref="B79" r:id="rId27" display="http://dkpp.rv.ua/index.php?level=86.10.1"/>
    <hyperlink ref="B34" r:id="rId28" display="http://dkpp.rv.ua/index.php?level=32.50.5"/>
    <hyperlink ref="B85" r:id="rId29" display="http://dk16.dovidnyk.info/index.php?rozd=9872"/>
    <hyperlink ref="C85" r:id="rId30" display="http://dk16.dovidnyk.info/index.php?rozd=9694"/>
    <hyperlink ref="B10" r:id="rId31" display="http://dkpp.rv.ua/index.php?level=17.12.7"/>
    <hyperlink ref="B87" r:id="rId32" display="http://dkpp.rv.ua/index.php?level=26.60.1"/>
    <hyperlink ref="B39" r:id="rId33" display="http://dkpp.rv.ua/index.php?level=10.51.1"/>
    <hyperlink ref="B45" r:id="rId34" display="http://dkpp.rv.ua/index.php?level=10.41.5"/>
    <hyperlink ref="B61" r:id="rId35" display="http://dkpp.rv.ua/index.php?level=38.11.2"/>
    <hyperlink ref="B76" r:id="rId36" display="http://dkpp.rv.ua/index.php?level=80.20.1"/>
    <hyperlink ref="B59" r:id="rId37" display="http://dk16.dovidnyk.info/index.php?rozd=14751"/>
    <hyperlink ref="B15" r:id="rId38" display="http://dkpp.rv.ua/index.php?level=26.20.1"/>
    <hyperlink ref="B60" r:id="rId39" display="http://dkpp.rv.ua/index.php?level=33.13.1"/>
    <hyperlink ref="B19" r:id="rId40" display="http://dkpp.rv.ua/index.php?level=20.13.2"/>
    <hyperlink ref="B12" r:id="rId41" display="http://dkpp.rv.ua/index.php?level=20.13.5"/>
    <hyperlink ref="B13" r:id="rId42" display="http://dkpp.rv.ua/index.php?level=20.14.3"/>
  </hyperlinks>
  <pageMargins left="0" right="0" top="0.43307086614173229" bottom="0.19685039370078741" header="0.27559055118110237" footer="0.23622047244094491"/>
  <pageSetup paperSize="9" scale="92" orientation="landscape" horizontalDpi="200" verticalDpi="200" r:id="rId43"/>
  <headerFooter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СВОД 2015 (2)</vt:lpstr>
      <vt:lpstr>СВОД 2015</vt:lpstr>
      <vt:lpstr>СВОД 2014  весь 21 (2)</vt:lpstr>
      <vt:lpstr>2-09.02</vt:lpstr>
      <vt:lpstr>'2-09.02'!Заголовки_для_печати</vt:lpstr>
      <vt:lpstr>'СВОД 2014  весь 21 (2)'!Заголовки_для_печати</vt:lpstr>
      <vt:lpstr>'СВОД 2015'!Заголовки_для_печати</vt:lpstr>
      <vt:lpstr>'СВОД 2015 (2)'!Заголовки_для_печати</vt:lpstr>
      <vt:lpstr>'2-09.02'!Область_печати</vt:lpstr>
      <vt:lpstr>'СВОД 2014  весь 21 (2)'!Область_печати</vt:lpstr>
      <vt:lpstr>'СВОД 2015'!Область_печати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</dc:creator>
  <cp:lastModifiedBy>EKON</cp:lastModifiedBy>
  <cp:lastPrinted>2015-02-16T10:39:25Z</cp:lastPrinted>
  <dcterms:created xsi:type="dcterms:W3CDTF">2015-02-11T11:29:15Z</dcterms:created>
  <dcterms:modified xsi:type="dcterms:W3CDTF">2015-02-16T11:53:28Z</dcterms:modified>
</cp:coreProperties>
</file>