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8-02.04" sheetId="1" r:id="rId1"/>
  </sheets>
  <definedNames>
    <definedName name="_xlnm._FilterDatabase" localSheetId="0" hidden="1">'8-02.04'!$C$185:$C$189</definedName>
    <definedName name="_xlnm.Print_Titles" localSheetId="0">'8-02.04'!$6:$6</definedName>
    <definedName name="_xlnm.Print_Area" localSheetId="0">'8-02.04'!$A$1:$AL$222</definedName>
  </definedNames>
  <calcPr calcId="144525"/>
</workbook>
</file>

<file path=xl/calcChain.xml><?xml version="1.0" encoding="utf-8"?>
<calcChain xmlns="http://schemas.openxmlformats.org/spreadsheetml/2006/main">
  <c r="AH216" i="1" l="1"/>
  <c r="G214" i="1"/>
  <c r="G213" i="1"/>
  <c r="G212" i="1"/>
  <c r="E211" i="1"/>
  <c r="E216" i="1" s="1"/>
  <c r="G210" i="1"/>
  <c r="G209" i="1"/>
  <c r="G208" i="1"/>
  <c r="AH206" i="1"/>
  <c r="G206" i="1"/>
  <c r="F206" i="1"/>
  <c r="F202" i="1"/>
  <c r="E202" i="1"/>
  <c r="E206" i="1" s="1"/>
  <c r="AH200" i="1"/>
  <c r="AH202" i="1" s="1"/>
  <c r="G200" i="1"/>
  <c r="G202" i="1" s="1"/>
  <c r="AH199" i="1"/>
  <c r="AH197" i="1"/>
  <c r="AA197" i="1"/>
  <c r="Y197" i="1"/>
  <c r="X197" i="1"/>
  <c r="W197" i="1"/>
  <c r="V197" i="1"/>
  <c r="U197" i="1"/>
  <c r="T197" i="1"/>
  <c r="S197" i="1"/>
  <c r="R197" i="1"/>
  <c r="Q197" i="1"/>
  <c r="P197" i="1"/>
  <c r="O197" i="1"/>
  <c r="N197" i="1"/>
  <c r="M197" i="1"/>
  <c r="L197" i="1"/>
  <c r="K197" i="1"/>
  <c r="J197" i="1"/>
  <c r="I197" i="1"/>
  <c r="H197" i="1"/>
  <c r="G196" i="1"/>
  <c r="AB193" i="1"/>
  <c r="G193" i="1"/>
  <c r="G192" i="1"/>
  <c r="G191" i="1"/>
  <c r="G189" i="1"/>
  <c r="G188" i="1"/>
  <c r="G186" i="1"/>
  <c r="F185" i="1"/>
  <c r="E185" i="1"/>
  <c r="E195" i="1" s="1"/>
  <c r="F184" i="1"/>
  <c r="G183" i="1"/>
  <c r="G182" i="1"/>
  <c r="AH181" i="1"/>
  <c r="AH195" i="1" s="1"/>
  <c r="F181" i="1"/>
  <c r="F197" i="1" s="1"/>
  <c r="G179" i="1"/>
  <c r="G178" i="1"/>
  <c r="G177" i="1"/>
  <c r="G176" i="1"/>
  <c r="G175" i="1"/>
  <c r="G171" i="1"/>
  <c r="G169" i="1"/>
  <c r="G168" i="1"/>
  <c r="Z165" i="1"/>
  <c r="Z197" i="1" s="1"/>
  <c r="G163" i="1"/>
  <c r="F161" i="1"/>
  <c r="AJ160" i="1"/>
  <c r="AH160" i="1"/>
  <c r="E160" i="1"/>
  <c r="G160" i="1" s="1"/>
  <c r="AJ159" i="1"/>
  <c r="AH159" i="1"/>
  <c r="E159" i="1"/>
  <c r="G159" i="1" s="1"/>
  <c r="G158" i="1"/>
  <c r="AJ157" i="1"/>
  <c r="AH157" i="1"/>
  <c r="G157" i="1"/>
  <c r="E157" i="1"/>
  <c r="AJ156" i="1"/>
  <c r="AH156" i="1"/>
  <c r="G156" i="1"/>
  <c r="E156" i="1"/>
  <c r="AJ155" i="1"/>
  <c r="AH155" i="1"/>
  <c r="G155" i="1"/>
  <c r="E155" i="1"/>
  <c r="AJ154" i="1"/>
  <c r="AH154" i="1"/>
  <c r="G154" i="1"/>
  <c r="E154" i="1"/>
  <c r="AJ153" i="1"/>
  <c r="AH153" i="1"/>
  <c r="G153" i="1"/>
  <c r="E153" i="1"/>
  <c r="AJ152" i="1"/>
  <c r="AH152" i="1"/>
  <c r="G152" i="1"/>
  <c r="E152" i="1"/>
  <c r="AJ151" i="1"/>
  <c r="AH151" i="1"/>
  <c r="AD151" i="1"/>
  <c r="E151" i="1"/>
  <c r="G151" i="1" s="1"/>
  <c r="E150" i="1"/>
  <c r="G150" i="1" s="1"/>
  <c r="AJ149" i="1"/>
  <c r="AH149" i="1"/>
  <c r="AA149" i="1"/>
  <c r="G149" i="1"/>
  <c r="E149" i="1"/>
  <c r="AJ148" i="1"/>
  <c r="AH148" i="1"/>
  <c r="G148" i="1"/>
  <c r="E148" i="1"/>
  <c r="AJ147" i="1"/>
  <c r="AH147" i="1"/>
  <c r="AA147" i="1"/>
  <c r="E147" i="1"/>
  <c r="G147" i="1" s="1"/>
  <c r="AJ146" i="1"/>
  <c r="AH146" i="1"/>
  <c r="E146" i="1"/>
  <c r="G146" i="1" s="1"/>
  <c r="AJ145" i="1"/>
  <c r="AH145" i="1"/>
  <c r="E145" i="1"/>
  <c r="G145" i="1" s="1"/>
  <c r="AJ144" i="1"/>
  <c r="AH144" i="1"/>
  <c r="E144" i="1"/>
  <c r="G144" i="1" s="1"/>
  <c r="AJ143" i="1"/>
  <c r="AH143" i="1"/>
  <c r="E143" i="1"/>
  <c r="G143" i="1" s="1"/>
  <c r="E142" i="1"/>
  <c r="G142" i="1" s="1"/>
  <c r="AJ141" i="1"/>
  <c r="AH141" i="1"/>
  <c r="AC141" i="1"/>
  <c r="G141" i="1"/>
  <c r="E141" i="1"/>
  <c r="AJ140" i="1"/>
  <c r="AH140" i="1"/>
  <c r="G140" i="1"/>
  <c r="E140" i="1"/>
  <c r="AJ139" i="1"/>
  <c r="AH139" i="1"/>
  <c r="G139" i="1"/>
  <c r="E139" i="1"/>
  <c r="AJ138" i="1"/>
  <c r="AH138" i="1"/>
  <c r="AA138" i="1"/>
  <c r="G138" i="1"/>
  <c r="AJ137" i="1"/>
  <c r="AH137" i="1"/>
  <c r="AA137" i="1"/>
  <c r="E137" i="1"/>
  <c r="G137" i="1" s="1"/>
  <c r="AJ136" i="1"/>
  <c r="AJ161" i="1" s="1"/>
  <c r="AH136" i="1"/>
  <c r="AH161" i="1" s="1"/>
  <c r="E136" i="1"/>
  <c r="G136" i="1" s="1"/>
  <c r="G161" i="1" s="1"/>
  <c r="Z135" i="1"/>
  <c r="Y135" i="1"/>
  <c r="X135" i="1"/>
  <c r="W135" i="1"/>
  <c r="V135" i="1"/>
  <c r="U135" i="1"/>
  <c r="S135" i="1"/>
  <c r="R135" i="1"/>
  <c r="Q135" i="1"/>
  <c r="P135" i="1"/>
  <c r="O135" i="1"/>
  <c r="N135" i="1"/>
  <c r="L135" i="1"/>
  <c r="K135" i="1"/>
  <c r="J135" i="1"/>
  <c r="I135" i="1"/>
  <c r="H135" i="1"/>
  <c r="F135" i="1"/>
  <c r="E135" i="1"/>
  <c r="G133" i="1"/>
  <c r="G132" i="1"/>
  <c r="G131" i="1"/>
  <c r="G130" i="1"/>
  <c r="AA128" i="1"/>
  <c r="G128" i="1"/>
  <c r="G126" i="1"/>
  <c r="AA125" i="1"/>
  <c r="T125" i="1"/>
  <c r="T135" i="1" s="1"/>
  <c r="G125" i="1"/>
  <c r="AA124" i="1"/>
  <c r="G124" i="1"/>
  <c r="AA123" i="1"/>
  <c r="M123" i="1"/>
  <c r="M135" i="1" s="1"/>
  <c r="G123" i="1"/>
  <c r="AA122" i="1"/>
  <c r="G122" i="1"/>
  <c r="AA121" i="1"/>
  <c r="G121" i="1"/>
  <c r="AA120" i="1"/>
  <c r="G120" i="1"/>
  <c r="AH119" i="1"/>
  <c r="G119" i="1"/>
  <c r="AH118" i="1"/>
  <c r="AH135" i="1" s="1"/>
  <c r="AA118" i="1"/>
  <c r="G118" i="1"/>
  <c r="G117" i="1"/>
  <c r="G116" i="1"/>
  <c r="G115" i="1"/>
  <c r="AA114" i="1"/>
  <c r="G114" i="1"/>
  <c r="G113" i="1"/>
  <c r="G112" i="1"/>
  <c r="AA111" i="1"/>
  <c r="G111" i="1"/>
  <c r="G110" i="1"/>
  <c r="G109" i="1"/>
  <c r="G108" i="1"/>
  <c r="AA107" i="1"/>
  <c r="G107" i="1"/>
  <c r="AA106" i="1"/>
  <c r="G106" i="1"/>
  <c r="G105" i="1"/>
  <c r="AA104" i="1"/>
  <c r="G104" i="1"/>
  <c r="G103" i="1"/>
  <c r="AA102" i="1"/>
  <c r="AA135" i="1" s="1"/>
  <c r="G102" i="1"/>
  <c r="G101" i="1"/>
  <c r="G135" i="1" s="1"/>
  <c r="AF100" i="1"/>
  <c r="AE100" i="1"/>
  <c r="AD100" i="1"/>
  <c r="AC100" i="1"/>
  <c r="Z100" i="1"/>
  <c r="Y100" i="1"/>
  <c r="X100" i="1"/>
  <c r="W100" i="1"/>
  <c r="V100" i="1"/>
  <c r="T100" i="1"/>
  <c r="S100" i="1"/>
  <c r="R100" i="1"/>
  <c r="Q100" i="1"/>
  <c r="P100" i="1"/>
  <c r="O100" i="1"/>
  <c r="N100" i="1"/>
  <c r="L100" i="1"/>
  <c r="K100" i="1"/>
  <c r="I100" i="1"/>
  <c r="H100" i="1"/>
  <c r="F100" i="1"/>
  <c r="E100" i="1"/>
  <c r="G99" i="1"/>
  <c r="AH94" i="1"/>
  <c r="AB85" i="1"/>
  <c r="AH80" i="1"/>
  <c r="AA66" i="1"/>
  <c r="AA100" i="1" s="1"/>
  <c r="AH49" i="1"/>
  <c r="U49" i="1"/>
  <c r="U100" i="1" s="1"/>
  <c r="AH42" i="1"/>
  <c r="AB40" i="1"/>
  <c r="AH37" i="1"/>
  <c r="AH36" i="1"/>
  <c r="AB35" i="1"/>
  <c r="AB100" i="1" s="1"/>
  <c r="G34" i="1"/>
  <c r="G32" i="1"/>
  <c r="AH31" i="1"/>
  <c r="G30" i="1"/>
  <c r="G29" i="1"/>
  <c r="M28" i="1"/>
  <c r="G28" i="1"/>
  <c r="M27" i="1"/>
  <c r="M100" i="1" s="1"/>
  <c r="G27" i="1"/>
  <c r="AH26" i="1"/>
  <c r="J23" i="1"/>
  <c r="J100" i="1" s="1"/>
  <c r="AH21" i="1"/>
  <c r="G21" i="1"/>
  <c r="G20" i="1"/>
  <c r="G19" i="1"/>
  <c r="AH18" i="1"/>
  <c r="G18" i="1"/>
  <c r="G17" i="1"/>
  <c r="G16" i="1"/>
  <c r="G14" i="1"/>
  <c r="G100" i="1" s="1"/>
  <c r="AH11" i="1"/>
  <c r="AH100" i="1" s="1"/>
  <c r="AH223" i="1" s="1"/>
  <c r="F195" i="1" l="1"/>
  <c r="E197" i="1"/>
  <c r="G185" i="1"/>
  <c r="G195" i="1" s="1"/>
  <c r="G211" i="1"/>
  <c r="G216" i="1" s="1"/>
  <c r="E223" i="1" s="1"/>
  <c r="G197" i="1" l="1"/>
</calcChain>
</file>

<file path=xl/sharedStrings.xml><?xml version="1.0" encoding="utf-8"?>
<sst xmlns="http://schemas.openxmlformats.org/spreadsheetml/2006/main" count="673" uniqueCount="556">
  <si>
    <t xml:space="preserve">Зміни №8 до додатку до річного плану державних закупівель на 2015 рік        </t>
  </si>
  <si>
    <t xml:space="preserve"> ДУ "Інститут охорони здоров'я  дітей та підлітків Національної академії медичних наук України"              </t>
  </si>
  <si>
    <t xml:space="preserve">згідно державного класифікатору продукції та послуг ДК 016:2010, затвердженого наказом Державного комітету України з питань технічного регулювання та споживчої політики від 11.10.2010 р. № 457                                                </t>
  </si>
  <si>
    <t xml:space="preserve"> ПРЕДМЕТ ЗАКУПІВЛІ</t>
  </si>
  <si>
    <t>Код КЕКВ (для бюджетних коштів)</t>
  </si>
  <si>
    <t>в т.ч.:</t>
  </si>
  <si>
    <t xml:space="preserve"> Очікувана вартість предмета закупівлі,грн.</t>
  </si>
  <si>
    <t>Примітки</t>
  </si>
  <si>
    <t>№1</t>
  </si>
  <si>
    <t>№2</t>
  </si>
  <si>
    <t>№3</t>
  </si>
  <si>
    <t>№4</t>
  </si>
  <si>
    <t>№5</t>
  </si>
  <si>
    <t>№6</t>
  </si>
  <si>
    <t>№7</t>
  </si>
  <si>
    <t>№8</t>
  </si>
  <si>
    <t>№9</t>
  </si>
  <si>
    <t>№10</t>
  </si>
  <si>
    <t>№11</t>
  </si>
  <si>
    <t>№12</t>
  </si>
  <si>
    <t>№13</t>
  </si>
  <si>
    <t>№14</t>
  </si>
  <si>
    <t>№15</t>
  </si>
  <si>
    <t>№16</t>
  </si>
  <si>
    <t>№17</t>
  </si>
  <si>
    <t>№18</t>
  </si>
  <si>
    <t>№19</t>
  </si>
  <si>
    <t>№20</t>
  </si>
  <si>
    <t>№21</t>
  </si>
  <si>
    <t>№22</t>
  </si>
  <si>
    <t>№23</t>
  </si>
  <si>
    <t>№24</t>
  </si>
  <si>
    <t>Процедура закупівлі</t>
  </si>
  <si>
    <t>Орієнтовний початок проведення процедури закупівлі</t>
  </si>
  <si>
    <t>Загальний фонд</t>
  </si>
  <si>
    <t>Спеціальний фонд</t>
  </si>
  <si>
    <t>Кліника</t>
  </si>
  <si>
    <t>Крейда та некальцинований доломіт</t>
  </si>
  <si>
    <t xml:space="preserve"> 08.11.3</t>
  </si>
  <si>
    <t>114,75 (сто чотирнадцять гривень 75 коп.)</t>
  </si>
  <si>
    <t xml:space="preserve">Вироби текстильні готові, інш ( Речі постільні, пір'яні чи пухові (зокрема ковдри стьобані та перини, диванні подушки, пуфи, подушки), крім матраців, спальних мішків) </t>
  </si>
  <si>
    <t>13.92.2</t>
  </si>
  <si>
    <t>1140,00 (одна тисяча сто сорок гривень 00 коп.)</t>
  </si>
  <si>
    <t>Вироби текстильні готові для домашнього господарства (Білизна постільна)</t>
  </si>
  <si>
    <t>13.92.1</t>
  </si>
  <si>
    <t>3780,00 (три тисячі сімсот вісімдесят гривень 00 коп.)</t>
  </si>
  <si>
    <t>Ганчір'я, відходи шпагату, мотузок, канатів та тросів і зношені вироби, з текстильних матеріалів</t>
  </si>
  <si>
    <t>13.94.1</t>
  </si>
  <si>
    <t>23,07 (двадцять три гривні 07 коп.)</t>
  </si>
  <si>
    <t>Одяг дитячий, одяг інший та аксесуари одягу інші, з текстильного полотна, крім трикотажних</t>
  </si>
  <si>
    <t xml:space="preserve"> 14.19.2</t>
  </si>
  <si>
    <r>
      <t>493,15 (чотириста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три гривні 15 коп.)</t>
    </r>
  </si>
  <si>
    <t>Вироби з деревини, інші(в т.ч Інструменти, оправи та ручки до інструментів, частини та ручки до мітел або щіток, заготівки для виготовлення люльок, шевські колодки й розтяжки для взуття, з деревини)</t>
  </si>
  <si>
    <t xml:space="preserve"> 16.29.1</t>
  </si>
  <si>
    <t>178,35 (сто сімдесят вісім гривень 35 коп.)</t>
  </si>
  <si>
    <t>Папір і картон оброблені</t>
  </si>
  <si>
    <t>17.12.7</t>
  </si>
  <si>
    <t>+2071,90</t>
  </si>
  <si>
    <t>1329,00(одна тисяча триста двадцять дев'ять  грн.00 коп)</t>
  </si>
  <si>
    <t>Папір побутовий і туалетний та паперова продукція</t>
  </si>
  <si>
    <t>17.22.1</t>
  </si>
  <si>
    <t>Вироби канцелярські, паперові(в т.ч Конверти, листівки поштові закриті, листівки поштові неілюстровані та листівки паперові чи картонні; коробки, сумки, гаманці й поштові набори для писання, паперові чи картонні, з умістом канцелярського паперу (в т.ч.Журнали реєстраційні, бухгалтерські книги, швидкозшивачі, формуляри та інші канцелярські вироби, паперові чи картонні)</t>
  </si>
  <si>
    <t>17.23.1</t>
  </si>
  <si>
    <t>10000,00                                       ( десять  тисяч гривень 00 коп)</t>
  </si>
  <si>
    <t>Вироби паперові та картонні, інші</t>
  </si>
  <si>
    <t>17.29.1</t>
  </si>
  <si>
    <t>10000,00 (десять тисяч гривень 00 коп)</t>
  </si>
  <si>
    <t>Паливо рідинне та газ; оливи мастильні ( в т.ч. Бензин моторний (газолін), зокрема авіаційний бензин)</t>
  </si>
  <si>
    <t>19.20.2</t>
  </si>
  <si>
    <t>35242,00 (тридцять п'ять тисяч двісті сорок дві гривні 00 коп)</t>
  </si>
  <si>
    <t xml:space="preserve"> +242,00 спеціальний фонд Довідка № 221 від 02.04.2015р.</t>
  </si>
  <si>
    <t>Гази промислові</t>
  </si>
  <si>
    <t>20.11.1</t>
  </si>
  <si>
    <t>500,00                  ( п'ятсот гривень 00 коп)</t>
  </si>
  <si>
    <t>Екстракти фарбувальні та дубильні; таніни та їхні похідні; речовини фарбувальні, н. в. і. у.</t>
  </si>
  <si>
    <t>20.12.2</t>
  </si>
  <si>
    <t>Елементи радіоактивні, інші, ізотопи та їхні сполуки; сплави, дисперсії, вироби керамічні та суміші, з умістом таких елементів, ізотопів або сполук</t>
  </si>
  <si>
    <t>20.13.1</t>
  </si>
  <si>
    <r>
      <t>15000,00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ятнадцять тисяч гривень 00 коп)</t>
    </r>
  </si>
  <si>
    <t>Елементи хімічні, н. в. і. у.; кислоти та сполуки неорганічні</t>
  </si>
  <si>
    <t>20.13.2</t>
  </si>
  <si>
    <t>6,66 (шість гривень 66 коп.)</t>
  </si>
  <si>
    <t>Солі інших металів (20.13.51-10.00   Манганіти, манганати та перманганати; молібдати; вольфрамати)</t>
  </si>
  <si>
    <t>20.13.5</t>
  </si>
  <si>
    <t>102,00 (сто дві гривні 00 коп)</t>
  </si>
  <si>
    <t>Вуглеводні та їхні похідні</t>
  </si>
  <si>
    <t>20.14.1</t>
  </si>
  <si>
    <t>1460,00 ( одна тисяча чотириста шістдесят гривень 00 коп)</t>
  </si>
  <si>
    <t>Спирти, феноли, фенолоспирти та їхні галогено-, сульфо-, нітрони нітрозопохідні; спирти жирні технічні</t>
  </si>
  <si>
    <t>20.14.2</t>
  </si>
  <si>
    <t>170,00 (сто сімдесят гривень 00 коп)</t>
  </si>
  <si>
    <t>Кислоти монокарбонові жирні технічні; кислоти карбонові та їхні солі</t>
  </si>
  <si>
    <t>20.14.3</t>
  </si>
  <si>
    <r>
      <t>1251,00 (одна тисяча двісті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одна  гривня 00 коп)</t>
    </r>
  </si>
  <si>
    <t>Продукти хімічні органічні, основні, різноманітні</t>
  </si>
  <si>
    <t>20.14.7</t>
  </si>
  <si>
    <t>Поліетіленгліколь 6000 (ПЕГ)</t>
  </si>
  <si>
    <t>20.16.4</t>
  </si>
  <si>
    <t>Фарби та лаки на основі полімерів</t>
  </si>
  <si>
    <t>20.30.1</t>
  </si>
  <si>
    <t>Фарби та лаки, інші, та пов'язана з ними продукція; барвники художні та друкарські чорнила</t>
  </si>
  <si>
    <t>20.30.2</t>
  </si>
  <si>
    <r>
      <t>475,02 (чотириста сімдесят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02 коп.)</t>
    </r>
  </si>
  <si>
    <t>Мило, засоби мийні та засоби для чищення</t>
  </si>
  <si>
    <t>20.41.3</t>
  </si>
  <si>
    <t>2000,00 (дві тисячі гривень 00 коп)</t>
  </si>
  <si>
    <t>Клеї</t>
  </si>
  <si>
    <t xml:space="preserve"> 20.52.1</t>
  </si>
  <si>
    <t>Чорнило для писання чи малювання та інші чорнила</t>
  </si>
  <si>
    <t>20.59.3</t>
  </si>
  <si>
    <t>Засоби змащувальні; присадки; речовини антифризні готові</t>
  </si>
  <si>
    <t>20.59.4</t>
  </si>
  <si>
    <t>Продукти хімічні різноманітні(тест-смужки уріни)</t>
  </si>
  <si>
    <t>20.59.5</t>
  </si>
  <si>
    <t>830,00</t>
  </si>
  <si>
    <r>
      <t>9602,58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шістсот  дві гривні 58 коп)</t>
    </r>
  </si>
  <si>
    <t xml:space="preserve"> +1570,08 спеціальний фонд</t>
  </si>
  <si>
    <t>Залози та інші органи, екстракти цих речовин та інші речовини людського чи тваринного походження, н. в. і. у.</t>
  </si>
  <si>
    <t xml:space="preserve"> 21.10.6</t>
  </si>
  <si>
    <r>
      <t>758,08 (сімсот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вісім гривень 08 коп)</t>
    </r>
  </si>
  <si>
    <t>Препарати фармацевтичні, інші ( VEGF-ІФА,(Вектор Бест-лаб.імун)</t>
  </si>
  <si>
    <t xml:space="preserve"> 21.20.2</t>
  </si>
  <si>
    <t>Шини та камери ґумові нові</t>
  </si>
  <si>
    <t xml:space="preserve"> 22.11.1</t>
  </si>
  <si>
    <t>Ґума невулканізована та вироби з неї; ґума вулканізована, крім твердої ґуми, ґуми у формі ниток, кордів, пластин, листів, стрічок, стрижнів і профілів</t>
  </si>
  <si>
    <t xml:space="preserve"> 22.19.2</t>
  </si>
  <si>
    <t>Труби, трубки та шланги з вулканізованої ґуми (крім виготовлених з твердої ґуми)</t>
  </si>
  <si>
    <t xml:space="preserve"> 22.19.3</t>
  </si>
  <si>
    <t>1212,16 (одна тисяча двісті дванадцять гривень 16 коп)</t>
  </si>
  <si>
    <t>Предмети одягу та аксесуари одягу з вулканізованої ґуми (крім виготовлених з твердої ґуми)</t>
  </si>
  <si>
    <t>22.19.6</t>
  </si>
  <si>
    <t>Вироби з вулканізованої ґуми, н. в. і. у.; ґума тверда; вироби з твердої ґуми</t>
  </si>
  <si>
    <t>22.19.7</t>
  </si>
  <si>
    <t>Труби, трубки, шланги та фітинги до них пластмасові</t>
  </si>
  <si>
    <t>22.21.2</t>
  </si>
  <si>
    <t>+117,55</t>
  </si>
  <si>
    <t>Пластини, листи, плівка, фольга та стрічки з пластмас, інші</t>
  </si>
  <si>
    <t>22.21.4</t>
  </si>
  <si>
    <t xml:space="preserve"> 22.21.2</t>
  </si>
  <si>
    <r>
      <t>96,90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шість гривень 90 коп)</t>
    </r>
  </si>
  <si>
    <t>Вироби пластмасові для будівництва; лінолеум і покриви на підлогу, тверді, не пластикові(Двері, вікна й рами віконні та пороги для дверей, підвіконня, віконниці, жалюзі та подібні вироби і їхні частини, пластмасові)</t>
  </si>
  <si>
    <t>22.23.1</t>
  </si>
  <si>
    <t>10,00 (десять гривень 00 коп)</t>
  </si>
  <si>
    <t>Вироби пластмасові інші, н. в. і. у.</t>
  </si>
  <si>
    <t>22.29.2</t>
  </si>
  <si>
    <t>700,00 ( сімсот гривень 00 коп)</t>
  </si>
  <si>
    <t>Скло технічне та інше скло</t>
  </si>
  <si>
    <t>23.19.2</t>
  </si>
  <si>
    <t>Вироби вогнетривкі</t>
  </si>
  <si>
    <t>23.20.1</t>
  </si>
  <si>
    <t>+127,70</t>
  </si>
  <si>
    <t>84,00 (вісімдесят чотири гривні 00 коп.)</t>
  </si>
  <si>
    <t xml:space="preserve"> +84,00 спеціальний фонд</t>
  </si>
  <si>
    <t>Вироби санітарно-технічні керамічні</t>
  </si>
  <si>
    <t>23.42.1</t>
  </si>
  <si>
    <r>
      <t>1565,0 (одна тисяча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 шістдесят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00 коп)</t>
    </r>
  </si>
  <si>
    <t>Цемент</t>
  </si>
  <si>
    <t>23.51.1</t>
  </si>
  <si>
    <t>+331,50</t>
  </si>
  <si>
    <t>Гіпс</t>
  </si>
  <si>
    <t>23.52.2</t>
  </si>
  <si>
    <t>Фітинги до труб чи трубок зі сталі, не литі</t>
  </si>
  <si>
    <t>24.20.4</t>
  </si>
  <si>
    <t>+133,08</t>
  </si>
  <si>
    <t>Вироби ножові та столові прибори</t>
  </si>
  <si>
    <t>25.71.1</t>
  </si>
  <si>
    <t xml:space="preserve"> 23.51.1</t>
  </si>
  <si>
    <t>141,0 (сто сорок одна гривня 00 коп)</t>
  </si>
  <si>
    <t>Вапно негашене, гашене та гідравлічне</t>
  </si>
  <si>
    <t xml:space="preserve"> 23.52.1</t>
  </si>
  <si>
    <t>467,70 (чотириста шістдесят сім гривень 70 коп)</t>
  </si>
  <si>
    <t>Напівфабрикати з міді та мідних сплавів</t>
  </si>
  <si>
    <t>24.44.2</t>
  </si>
  <si>
    <t>67,88 (шістдесят сім гривень 88 коп)</t>
  </si>
  <si>
    <t>Замки та завіси</t>
  </si>
  <si>
    <t>25.72.1</t>
  </si>
  <si>
    <t>+5,44</t>
  </si>
  <si>
    <t>1000,00 (одна тисяча гривень 00 коп)</t>
  </si>
  <si>
    <t>Інструменти ручні для використання в сільському господарстві, садівництві чи лісовому господарстві</t>
  </si>
  <si>
    <t>25.73.1</t>
  </si>
  <si>
    <t>+464,55</t>
  </si>
  <si>
    <t>Пилки ручні, полотна до будь-яких пилок</t>
  </si>
  <si>
    <t>25.73.2</t>
  </si>
  <si>
    <t>+126,98</t>
  </si>
  <si>
    <t>Інструменти ручні, інші</t>
  </si>
  <si>
    <t>25.73.3</t>
  </si>
  <si>
    <t>+18,00</t>
  </si>
  <si>
    <t>Деталі змінні до ручних інструментів з механічним урухомлювачем/приводом чи без нього, або до верстатів</t>
  </si>
  <si>
    <t>25.73.4</t>
  </si>
  <si>
    <t>Вироби кріпильні та ґвинтонарізні</t>
  </si>
  <si>
    <t>25.94.1</t>
  </si>
  <si>
    <t>+137,19</t>
  </si>
  <si>
    <t>Вироби для ванн і кухні, металеві</t>
  </si>
  <si>
    <t>25.99.1</t>
  </si>
  <si>
    <t>+66,80</t>
  </si>
  <si>
    <t>25.99.2</t>
  </si>
  <si>
    <t>+16,80</t>
  </si>
  <si>
    <t>Схеми електронні інтегровані</t>
  </si>
  <si>
    <t xml:space="preserve"> 26.11.3</t>
  </si>
  <si>
    <r>
      <t>500,00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гривень 00 коп)</t>
    </r>
  </si>
  <si>
    <t>інструменти ручні, інші</t>
  </si>
  <si>
    <r>
      <t>92,54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дві гривні 54 коп)</t>
    </r>
  </si>
  <si>
    <t>26,67 (двадцять шість гривень 67 коп)</t>
  </si>
  <si>
    <t>57,85 (пятдесят сім гривень 85 коп)</t>
  </si>
  <si>
    <t>Машини обчислювальні, частини та приладдя до них</t>
  </si>
  <si>
    <t>26.20.1</t>
  </si>
  <si>
    <t>1346,00 (одна тисяча триста сорок шість гривень 00 коп)</t>
  </si>
  <si>
    <t>Акумулятори електричні та частини до них</t>
  </si>
  <si>
    <t>27.20.2</t>
  </si>
  <si>
    <r>
      <t>1392,00 (одна тисяча триста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дві грнивні 00 коп.)</t>
    </r>
  </si>
  <si>
    <t>Проводи та кабелі електронні й електричні, інші</t>
  </si>
  <si>
    <t>27.32.1</t>
  </si>
  <si>
    <t>364,90 (триста шістдесят чотири гривні 90 коп)</t>
  </si>
  <si>
    <t>Лампи розжарювання та газорозрядні електричні; лампи дугові</t>
  </si>
  <si>
    <t>27.40.1</t>
  </si>
  <si>
    <r>
      <t>494,50 (чотириста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чотири гривні 50 коп)</t>
    </r>
  </si>
  <si>
    <t>Холодильники та морозильники; машини пральні; електроковдри; вентилятори(холодильник відділення ендокринології) (натуральні надходження)</t>
  </si>
  <si>
    <t>27.51.1</t>
  </si>
  <si>
    <t>2300,00 (дві тисячі триста гривень 00 коп )</t>
  </si>
  <si>
    <t>Крани, вентилі, клапани та подібні вироби до труб, котлів, резервуарів, цистерн і подібних виробів</t>
  </si>
  <si>
    <t>28.14.1</t>
  </si>
  <si>
    <t>+158,00</t>
  </si>
  <si>
    <r>
      <t>5000,00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гривень 00 коп)</t>
    </r>
  </si>
  <si>
    <t>Теплообмінники; установки для кондиціювання повітря непобутові, непобутове холодильне та морозильне устатковання</t>
  </si>
  <si>
    <t>28.25.1</t>
  </si>
  <si>
    <t xml:space="preserve"> 460,00 (чотириста шістдесят гривень 00 кол)</t>
  </si>
  <si>
    <t>Газогенератори, дистиляційні та фільтрувальні апарати</t>
  </si>
  <si>
    <t>28.29.1</t>
  </si>
  <si>
    <t>68,00 (шістдесят вісім гривень 00 коп)</t>
  </si>
  <si>
    <t>Косарки для газонів, парків, спортивних майданчиків</t>
  </si>
  <si>
    <t>28.30.4</t>
  </si>
  <si>
    <t>+130,00</t>
  </si>
  <si>
    <t>Двигуни внутрішнього згоряння до моторних транспортних засобів</t>
  </si>
  <si>
    <t xml:space="preserve"> 29.10.1</t>
  </si>
  <si>
    <t>Устатковання електричне, інше, до моторних транспортних засобів і його частини</t>
  </si>
  <si>
    <t>29.31.2</t>
  </si>
  <si>
    <t>Частини та приладдя до моторних транспортних засобів, н. в. і. у.</t>
  </si>
  <si>
    <t>29.32.3</t>
  </si>
  <si>
    <t>Меблі для сидіння та їхні частини(натур.надходження)</t>
  </si>
  <si>
    <t>31.00.1</t>
  </si>
  <si>
    <t>1300,00</t>
  </si>
  <si>
    <t>Меблі конторські/офісні та меблі для підприємств торгівлі- столи (натуральні надходження)</t>
  </si>
  <si>
    <t xml:space="preserve"> 31.01.1</t>
  </si>
  <si>
    <t>Матраци</t>
  </si>
  <si>
    <t xml:space="preserve"> 31.03.1</t>
  </si>
  <si>
    <t>+1176,00</t>
  </si>
  <si>
    <t>Меблі, інші(ліжка.тумби, шафи)(натуральні надходження)</t>
  </si>
  <si>
    <t>31.09.1</t>
  </si>
  <si>
    <t>+5250,00</t>
  </si>
  <si>
    <t>Ігри, інші(настільні ігри відділення педіатрії) (натуральні надходження)</t>
  </si>
  <si>
    <t>32.40.4</t>
  </si>
  <si>
    <t>+516,00</t>
  </si>
  <si>
    <t>Інструменти і прилади медичні, хірургічні та стоматологічні</t>
  </si>
  <si>
    <t>32.50.1</t>
  </si>
  <si>
    <t>Мітли та щітки</t>
  </si>
  <si>
    <t>32.91.1</t>
  </si>
  <si>
    <t>+38,80</t>
  </si>
  <si>
    <t>Убори наголовні захисні; ручки для писання та олівці, дошки, штемпелі для датування, опечатування та нумерування; стрічки до друкарських машинок, штемпельні подушечки</t>
  </si>
  <si>
    <t xml:space="preserve"> 32.99.1</t>
  </si>
  <si>
    <t>3714,00 (три тисячі сімсот чотирнадцять гривень 00 коп.)</t>
  </si>
  <si>
    <r>
      <t xml:space="preserve"> </t>
    </r>
    <r>
      <rPr>
        <sz val="10"/>
        <rFont val="Times New Roman"/>
        <family val="1"/>
        <charset val="204"/>
      </rPr>
      <t>+2902,00 спеціальний фонд Довідка № 221від 02.04.2015р.</t>
    </r>
  </si>
  <si>
    <r>
      <t>185,25 (сто вісімдесят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25 коп)</t>
    </r>
  </si>
  <si>
    <t>Відходи безпечні, інші, придатні для вторинного </t>
  </si>
  <si>
    <t>38.11.5</t>
  </si>
  <si>
    <t>315,99 (триста п'ятнадцять гривень 99 коп.)</t>
  </si>
  <si>
    <t>Сировина вторинна металева (Сировина вторинна з алюмінію)</t>
  </si>
  <si>
    <t>38.32.2</t>
  </si>
  <si>
    <t>20,15 (двадцять гривень 15 коп.)</t>
  </si>
  <si>
    <t>Журнали та періодичні видання друковані</t>
  </si>
  <si>
    <t>58.14.1</t>
  </si>
  <si>
    <t>Продукція друкована інша( в т.ч.Марки поштові, гербові чи подібні нові; гербовий папір; чекові книжки; банкноти, акції, облігації та подібні цінні ,бланки мед))папери, друковані</t>
  </si>
  <si>
    <t>58.19.1</t>
  </si>
  <si>
    <t>+3000,00</t>
  </si>
  <si>
    <r>
      <t>1500,00 (одна тисяча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гривень 00 коп)</t>
    </r>
  </si>
  <si>
    <t>Разом по КЕКВ 2210</t>
  </si>
  <si>
    <t>122308,15 (сто двадцять дві тисячі триста вісім гривень 15 коп)</t>
  </si>
  <si>
    <t xml:space="preserve"> 20.12.2</t>
  </si>
  <si>
    <t>1500,00  ( одна тисяча п 'ятсот гривень 00 коп)</t>
  </si>
  <si>
    <t>Солі металів галоїдні; гіпохлорити, хлорати й перхлорати</t>
  </si>
  <si>
    <t>20.13.3</t>
  </si>
  <si>
    <r>
      <t>36435,00 ( тридцять шість тисяч чотириста тридцять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00 коп)</t>
    </r>
  </si>
  <si>
    <t>Солі інших металів</t>
  </si>
  <si>
    <r>
      <t>2500,00 (дві тисячі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 гривень 00 коп)</t>
    </r>
  </si>
  <si>
    <t>Речовини хімічні неорганічні основні, інші, н. в. і. у.</t>
  </si>
  <si>
    <t>20.13.6</t>
  </si>
  <si>
    <t>870,00 (вісімсот сімдесят гривень 00 коп)</t>
  </si>
  <si>
    <t>-4905,39</t>
  </si>
  <si>
    <r>
      <t>90000,00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 тисяч гривень 00 коп)</t>
    </r>
  </si>
  <si>
    <r>
      <t>10500,00 (десять тисяч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гривень 00 коп)</t>
    </r>
  </si>
  <si>
    <t>300,00 (триста гривень 00 коп)</t>
  </si>
  <si>
    <t>Сполуки органічні з азотною функційною групою</t>
  </si>
  <si>
    <t>20.14.4</t>
  </si>
  <si>
    <t>70000,00 (сімдесят тисяч гривень 00 коп)</t>
  </si>
  <si>
    <t>Сполуки сіркоорганічні та інші органічно-неорганічні сполуки; гетероциклічні сполуки, н. в. і. у.</t>
  </si>
  <si>
    <t>20.14.5</t>
  </si>
  <si>
    <t>30000,00 (тридцять тисяч гривень 00 коп)</t>
  </si>
  <si>
    <t>Ефіри, пероксиди, епоксиди, ацеталі та напівацеталі органічні; сполуки органічні, інші</t>
  </si>
  <si>
    <t>20.14.6</t>
  </si>
  <si>
    <r>
      <t>15000,00             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ятнадцять тисяч гривень 00 коп)</t>
    </r>
  </si>
  <si>
    <r>
      <t>50000,00             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тисяч гривень 00 коп)</t>
    </r>
  </si>
  <si>
    <t>Кислота азотна; кислоти сульфоазотні; аміак</t>
  </si>
  <si>
    <t>20.15.1</t>
  </si>
  <si>
    <t>100,00 (Сто гривень 00 коп)</t>
  </si>
  <si>
    <t>Добрива азотні, мінеральні чи хімічні</t>
  </si>
  <si>
    <t>20.15.3</t>
  </si>
  <si>
    <t>700,00 (сімсот гривень 00 коп)</t>
  </si>
  <si>
    <t>Пестициди та інші агрохімічні продукти</t>
  </si>
  <si>
    <t>20.20.1</t>
  </si>
  <si>
    <r>
      <t>11350,00 (одинадцять тисяч триста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гривень 00 коп)</t>
    </r>
  </si>
  <si>
    <t>Речовини поверхнево-активні органічні, крім мила</t>
  </si>
  <si>
    <t>20.41.2</t>
  </si>
  <si>
    <r>
      <t>35238,16 (тридцять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двісті тридцять вісім гривень 16 коп)</t>
    </r>
  </si>
  <si>
    <t>Фотопластинки й фотоплівки, плівка для миттєвого друку; фотохімікати та фотографічні незмішані речовини</t>
  </si>
  <si>
    <t>20.59.1</t>
  </si>
  <si>
    <t>8000,00 (вісім тисяч гривень 00 коп)</t>
  </si>
  <si>
    <t>Продукти хімічні різноманітні</t>
  </si>
  <si>
    <t>76000,00 (сімдесят шість тисяч гривень 00 коп)</t>
  </si>
  <si>
    <t>Желатин і його похідні, зокрема молочні альбуміни</t>
  </si>
  <si>
    <t>20.59.6</t>
  </si>
  <si>
    <t>Лізин, глутамінова кислота та їхні солі; солі та гідроксиди амонію четвертинні; фосфоаміноліліди; аміди та їхні похідні й солі з цих речовин</t>
  </si>
  <si>
    <t xml:space="preserve"> 21.10.2</t>
  </si>
  <si>
    <t>+1301,98</t>
  </si>
  <si>
    <t>Лактони, н. в. і. у., гетероциклічні сполуки лише з гетеро-атомом(-ами) азоту, що мають у структурі неконденсоване піразинове кільце, піримідинове кільце, піперазольне кільце чи фенотіазинову кільцеву систему без подальшої конденсації; гідантоїн та його похідні; сульфонаміди</t>
  </si>
  <si>
    <t>21.10.3</t>
  </si>
  <si>
    <t>+2608,41</t>
  </si>
  <si>
    <t>15000,00 (п'ятнадцять тисяч гривень 00 коп)</t>
  </si>
  <si>
    <t>Цукри хімічно чисті, н. в. і. у.; ефіри та естери цукрів і їхні солі, н. в. і. у.</t>
  </si>
  <si>
    <t xml:space="preserve"> 21.10.4</t>
  </si>
  <si>
    <t>3200,00 (три тисячі двісті гривень 00 коп)</t>
  </si>
  <si>
    <t>Провітаміни, вітаміни й гормони; глікозиди та алкалоїди рослинного походження та їхні похідні; антибіотики</t>
  </si>
  <si>
    <t xml:space="preserve"> 21.10.5</t>
  </si>
  <si>
    <t>+10,00</t>
  </si>
  <si>
    <r>
      <t>45000,00 (сорок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гривень 00 коп)</t>
    </r>
  </si>
  <si>
    <t>+2651,30</t>
  </si>
  <si>
    <t>+4045,35</t>
  </si>
  <si>
    <t>18981,37</t>
  </si>
  <si>
    <t>35000,00 (тридцять п'ять тисяч гривень 00 коп)</t>
  </si>
  <si>
    <t>Ліки</t>
  </si>
  <si>
    <t>21.20.1</t>
  </si>
  <si>
    <t>60000,00 (шістдесят тисяч гривень 00 коп)</t>
  </si>
  <si>
    <t>Препарати фармацевтичні, інші</t>
  </si>
  <si>
    <t>40000,00 (сорок тисяч гривень 00 коп)</t>
  </si>
  <si>
    <t>Тканини проґумовані (крім кордів до шин)</t>
  </si>
  <si>
    <t>22.19.5</t>
  </si>
  <si>
    <r>
      <t>5392,00 (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триста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дві гривні  00 коп)</t>
    </r>
  </si>
  <si>
    <t>70874,84 (сімдесят тисяч вісімсот сімдесят чотири гривні 84 коп)</t>
  </si>
  <si>
    <t>Тара пластмасова</t>
  </si>
  <si>
    <t xml:space="preserve"> 22.22.1</t>
  </si>
  <si>
    <t>Прилади для контролювання інших фізичних характеристик</t>
  </si>
  <si>
    <t>26.51.5</t>
  </si>
  <si>
    <t>3740,00 (три тисячі сімсот сорок гривень 00 коп)</t>
  </si>
  <si>
    <r>
      <t>50000,00 (п'</t>
    </r>
    <r>
      <rPr>
        <sz val="11"/>
        <rFont val="Calibri"/>
        <family val="2"/>
        <charset val="204"/>
      </rPr>
      <t>я</t>
    </r>
    <r>
      <rPr>
        <sz val="11"/>
        <rFont val="Times New Roman"/>
        <family val="1"/>
        <charset val="204"/>
      </rPr>
      <t>тдесят тисяч гривень 00 коп)</t>
    </r>
  </si>
  <si>
    <t>Вироби медичної та хірургічної призначеності, інші</t>
  </si>
  <si>
    <t>32.50.5</t>
  </si>
  <si>
    <t>1000,00 одна тисяча гривень 00 коп)</t>
  </si>
  <si>
    <t>Разом по КЕКВ  2220</t>
  </si>
  <si>
    <t>806000,00 (вісімсот шість тисяч гривень 00 коп)</t>
  </si>
  <si>
    <t>Овочі листкові</t>
  </si>
  <si>
    <t>01.13.1</t>
  </si>
  <si>
    <r>
      <t>24951,64 (двадцять чотири тисячі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одна гривня 64 коп)</t>
    </r>
  </si>
  <si>
    <t>Овочі коренеплідні, цибулинні та бульбоплідні, інші (з низьким умістом крохмалю та інуліну)</t>
  </si>
  <si>
    <t>01.13.4</t>
  </si>
  <si>
    <r>
      <t>39552,82 (тридцять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дві гривні 82 коп)</t>
    </r>
  </si>
  <si>
    <t>Коренеплоди та бульби їстівні з високим умістом крохмалю та інуліну</t>
  </si>
  <si>
    <t>01.13.5</t>
  </si>
  <si>
    <t>-4174,60</t>
  </si>
  <si>
    <r>
      <t>56250,00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шість тисяч двісті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гривень 00 коп)</t>
    </r>
  </si>
  <si>
    <t>Яйця у шкаралупі, свіжі</t>
  </si>
  <si>
    <t>01.47.2</t>
  </si>
  <si>
    <t>46616,00           (сорок шість тисяч шістсот шістнадцять гривень 00 коп)</t>
  </si>
  <si>
    <t>М'ясо свійської птиці, свіже чи охолоджене</t>
  </si>
  <si>
    <t xml:space="preserve"> 10.12.1</t>
  </si>
  <si>
    <r>
      <t>97325,13 (дев'яносто сім тисяч триста двадцять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 гривень 13 коп.)</t>
    </r>
  </si>
  <si>
    <t>Продукція рибна, свіжа, охолоджена чи заморожена</t>
  </si>
  <si>
    <t>10.20.1</t>
  </si>
  <si>
    <r>
      <t>65882,76 (шістдесят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 тисяч вісімсот вісімдесят дві гривні 76 коп)</t>
    </r>
  </si>
  <si>
    <t>Соки фруктові та овочеві</t>
  </si>
  <si>
    <t>10.32.1</t>
  </si>
  <si>
    <t>Плоди та овочі, оброблені та законсервовані, крім картоплі</t>
  </si>
  <si>
    <t>10.39.1</t>
  </si>
  <si>
    <r>
      <t>10394,96 (десять тисяч триста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чотири гривні 96 коп)</t>
    </r>
  </si>
  <si>
    <t>Плоди й горіхи, оброблені та законсервовані</t>
  </si>
  <si>
    <t>10.39.2</t>
  </si>
  <si>
    <t>1380,00      (одна тисяча триста вісімдесят гривень 00 коп)</t>
  </si>
  <si>
    <t>Олії рафіновані</t>
  </si>
  <si>
    <t>10.41.5</t>
  </si>
  <si>
    <t>35601,60 (тридцять п'ять тисяч шістсот одна гривня 60 коп)</t>
  </si>
  <si>
    <t>Молоко та вершки, рідинні, оброблені</t>
  </si>
  <si>
    <t>10.51.1</t>
  </si>
  <si>
    <t>+4174,60</t>
  </si>
  <si>
    <t>21000,00 (двадцять одна тисяча гривень 00 коп)</t>
  </si>
  <si>
    <t>Рис напівобрушений чи повністю обрушений, або лущений чи дроблений</t>
  </si>
  <si>
    <t>10.61.1</t>
  </si>
  <si>
    <t>17000,00 (сімнадцять тисяч  гривень 00 коп)</t>
  </si>
  <si>
    <t>Борошно зернових і овочевих культур; їхні суміші</t>
  </si>
  <si>
    <t>10.61.2</t>
  </si>
  <si>
    <r>
      <t>7550,00 (сім тисяч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п</t>
    </r>
    <r>
      <rPr>
        <sz val="11"/>
        <rFont val="Calibri"/>
        <family val="2"/>
        <charset val="204"/>
      </rPr>
      <t>'я</t>
    </r>
    <r>
      <rPr>
        <sz val="11"/>
        <rFont val="Times New Roman"/>
        <family val="1"/>
        <charset val="204"/>
      </rPr>
      <t>тдесят гривень 00 коп)</t>
    </r>
  </si>
  <si>
    <t>Крупи, крупка, гранули та інші продукти з зерна зернових культур</t>
  </si>
  <si>
    <t xml:space="preserve">10.61.3 </t>
  </si>
  <si>
    <r>
      <t>48085,00 (сорок вісім тисяч вісімдесят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00 коп)</t>
    </r>
  </si>
  <si>
    <t>Крохмалі і крохмалепродукти; цукор і цукрові сиропи, н. в. і. у.</t>
  </si>
  <si>
    <t>10.62.1</t>
  </si>
  <si>
    <t>Вироби хлібобулочні, кондитерські та кулінарні, борошняні, нетривалого зберігання</t>
  </si>
  <si>
    <t>10.71.1</t>
  </si>
  <si>
    <t>99661,17 (дев'яносто дев'ять тисяч шістсот шістдесят одна гривня 17 коп)</t>
  </si>
  <si>
    <t>Макарони, локшина, кускус і подібні борошняні вироби</t>
  </si>
  <si>
    <t>10.73.1</t>
  </si>
  <si>
    <t>1680,00     (одна тисяча шістсот вісімдесят гривень 00 коп)</t>
  </si>
  <si>
    <t>Цукор-сирець, тростинний і очищений тростинний чи буряковий цукор (сахароза); меляса</t>
  </si>
  <si>
    <t>10.81.1</t>
  </si>
  <si>
    <r>
      <t>19560,00  (дев'ятнадцять тисяч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шістдесят гривень 00 коп)</t>
    </r>
  </si>
  <si>
    <t>Чай і кава, оброблені</t>
  </si>
  <si>
    <t>10.83.1</t>
  </si>
  <si>
    <r>
      <t>1509,80 (одна тисяча п'ятсот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80 коп)</t>
    </r>
  </si>
  <si>
    <t>Оцет; соуси; суміші приправ; борошно та крупка гірчичні; гірчиця готова</t>
  </si>
  <si>
    <t>10.84.1</t>
  </si>
  <si>
    <t>1353,12   (одна тисяча триста п'ятдесят три гривні 12 коп)</t>
  </si>
  <si>
    <t>Прянощі, оброблені</t>
  </si>
  <si>
    <t>10.84.2</t>
  </si>
  <si>
    <t>283,50 (двісті вісімдесят три гривні 50 коп)</t>
  </si>
  <si>
    <t>Сіль харчова</t>
  </si>
  <si>
    <t>10.84.3</t>
  </si>
  <si>
    <t>1737,50        (одна тисяча сімсот тридцять сім гривень 50 коп)</t>
  </si>
  <si>
    <t>Продукти харчові готові гомогенізовані для дитячого та дієтичного харчування( для дітей-сиріт)</t>
  </si>
  <si>
    <t>10.86.1</t>
  </si>
  <si>
    <t>66004,50 (шістдесят шість тисяч чотири гривні 50 коп)</t>
  </si>
  <si>
    <t>Супи, яйця, дріжджі та інші харчові продукти; екстракти та соки з м'яса, риби й водяних безхребетних</t>
  </si>
  <si>
    <t>10.89.1</t>
  </si>
  <si>
    <t>229,00 (двісті двадцять дев'ять гривень 00 коп)</t>
  </si>
  <si>
    <t>2396,00 (дві тисячі триста дев'яносто шість гривень 00 коп)</t>
  </si>
  <si>
    <t>Разом по КЕКВ 2230</t>
  </si>
  <si>
    <t>666004,50 (шістсот шістдесят шість тисяч чотири гривні 50 коп)</t>
  </si>
  <si>
    <t xml:space="preserve"> </t>
  </si>
  <si>
    <t>Послуги, пов'язані з лісівництвом</t>
  </si>
  <si>
    <t>02.40.1</t>
  </si>
  <si>
    <t>Послуги палітурні та послуги, пов'язані з оправлянням</t>
  </si>
  <si>
    <t>18.14.1</t>
  </si>
  <si>
    <t>Ремонтування та технічне обслуговування машин загальної призначеності</t>
  </si>
  <si>
    <t>33.12.1</t>
  </si>
  <si>
    <r>
      <t>19892,84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ятнадцять тисяч вісімсот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дві гривні 84 коп)</t>
    </r>
  </si>
  <si>
    <t>Ремонтування та технічне обслуговування електронного й оптичного устатковання</t>
  </si>
  <si>
    <t>33.13.1</t>
  </si>
  <si>
    <t>Ремонтування та технічне обслуговування іншого електричного устатковання</t>
  </si>
  <si>
    <t>33.14.1</t>
  </si>
  <si>
    <t>Збирання безпечних відходів, непридатних для вторинного використовування</t>
  </si>
  <si>
    <t>38.11.2</t>
  </si>
  <si>
    <t>20000,00 (двадцять тисяч гривень 00 коп)</t>
  </si>
  <si>
    <t>Послуги підприємств щодо перевезення безпечних відходів</t>
  </si>
  <si>
    <t>38.11.6</t>
  </si>
  <si>
    <t>Послуги підприємств щодо перевезення небезпечних відходів</t>
  </si>
  <si>
    <t>38.12.3</t>
  </si>
  <si>
    <t>4000,00 (чотири тисячі гривні 00 коп)</t>
  </si>
  <si>
    <t>Утилізування відсортованих матеріальних ресурсів</t>
  </si>
  <si>
    <t>38.32.1</t>
  </si>
  <si>
    <t>Послуги щодо рекультивування та спеціалізованої боротьби із забрудненням, інші</t>
  </si>
  <si>
    <t>39.00.2</t>
  </si>
  <si>
    <t>1300,00 (одна тисяча триста гривень 00 коп)</t>
  </si>
  <si>
    <t>Монтаж водопровідних, каналізаційних, систем опалювання, вентиляції та кондиціювання повітря</t>
  </si>
  <si>
    <t>43.22.1</t>
  </si>
  <si>
    <t>Послуги поштові у межах зобов'язання щодо надання універсальних послуг</t>
  </si>
  <si>
    <t>53.10.1</t>
  </si>
  <si>
    <t>Послуги щодо видання ліцензії на право користування програмним забезпеченням</t>
  </si>
  <si>
    <t>58.29.5</t>
  </si>
  <si>
    <r>
      <t>6900,00 (шість тисяч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гривень 00 коп.)</t>
    </r>
  </si>
  <si>
    <t>Послуги щодо передавання даних і повідомлень</t>
  </si>
  <si>
    <t>61.10.1</t>
  </si>
  <si>
    <t>Послуги зв'язку Інтернетом проводовими мережами</t>
  </si>
  <si>
    <t>61.10.4</t>
  </si>
  <si>
    <t>14400,00 (чотирнадцять тисяч чотириста гривень 00 коп)</t>
  </si>
  <si>
    <t>Послуги щодо проектування та розробляння у сфері інформаційних технологій для прикладних завдань</t>
  </si>
  <si>
    <t>62.01.1</t>
  </si>
  <si>
    <r>
      <t>750,00 (сімсот п</t>
    </r>
    <r>
      <rPr>
        <sz val="11"/>
        <rFont val="Calibri"/>
        <family val="2"/>
        <charset val="204"/>
      </rPr>
      <t>''</t>
    </r>
    <r>
      <rPr>
        <sz val="11"/>
        <rFont val="Times New Roman"/>
        <family val="1"/>
        <charset val="204"/>
      </rPr>
      <t>ятдесят гривень 00 коп)</t>
    </r>
  </si>
  <si>
    <t>Послуги щодо консультування стосовно апаратного забезпечення</t>
  </si>
  <si>
    <t>62.02.1</t>
  </si>
  <si>
    <r>
      <t>2520,00 (дві тисячі 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двадцять гривень 00 коп)</t>
    </r>
  </si>
  <si>
    <t>Послуги щодо консультування стосовно систем і програмного забезпечення</t>
  </si>
  <si>
    <t>62.02.2</t>
  </si>
  <si>
    <t>6000,00 (шість тисяч гривень 00 коп)</t>
  </si>
  <si>
    <t>Послуги щодо обробляння даних, розміщування інформації на веб-вузлах, щодо програмного застосування та інші послуги щодо забезпечення інформаційно-технологічною інфраструктурою</t>
  </si>
  <si>
    <t>63.11.1</t>
  </si>
  <si>
    <r>
      <t>3552,00 (три тисячі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ятдесят дві гривні 00 коп)</t>
    </r>
  </si>
  <si>
    <t>Послуги інформаційні, інші, н. в. і. у.</t>
  </si>
  <si>
    <t>63.99.1</t>
  </si>
  <si>
    <t>4231,25 (чотири тисячі двісті тридцять одна гривня 25 коп)</t>
  </si>
  <si>
    <t xml:space="preserve"> +2450,00 спеціальний фонд Довідка № 221 від 02.04.20145р.</t>
  </si>
  <si>
    <t>Послуги щодо грошового посередництва, інші, н. в. і. у.</t>
  </si>
  <si>
    <t>64.19.3</t>
  </si>
  <si>
    <t>Послуги щодо страхування життя</t>
  </si>
  <si>
    <t>65.11.1</t>
  </si>
  <si>
    <t>400,00 (чотириста гривень 00 коп)</t>
  </si>
  <si>
    <t>Послуги щодо страхування автотранспорту</t>
  </si>
  <si>
    <t>65.12.2</t>
  </si>
  <si>
    <t>1400,00 (одна тисяча чотириста гривень 00 коп)</t>
  </si>
  <si>
    <t>Послуги щодо технічного випробовування й аналізування</t>
  </si>
  <si>
    <t>71.20.1</t>
  </si>
  <si>
    <r>
      <t>99000,00 (дев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яносто дев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гривень 00 коп)</t>
    </r>
  </si>
  <si>
    <t>Послуги щодо надання професійної та технічної допомоги та консультаційні, н. в. і. у.</t>
  </si>
  <si>
    <t>74.90.1</t>
  </si>
  <si>
    <t>Послуги систем безпеки</t>
  </si>
  <si>
    <t>80.20.1</t>
  </si>
  <si>
    <t>+12100,00</t>
  </si>
  <si>
    <r>
      <t>11565,60 (одинадцять тисяч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шістдесят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гривень 60 коп)</t>
    </r>
  </si>
  <si>
    <t>Послуги щодо очищування, інші</t>
  </si>
  <si>
    <t>81.29.1</t>
  </si>
  <si>
    <t>Послуги у сфері громадського порядку та громадської безпеки</t>
  </si>
  <si>
    <t>84.24.1</t>
  </si>
  <si>
    <t>-12100,00</t>
  </si>
  <si>
    <t>2400,00 (дві тисячі чотириста гривень 00 коп)</t>
  </si>
  <si>
    <t>Послуги лікувальних закладів</t>
  </si>
  <si>
    <t>86.10.1</t>
  </si>
  <si>
    <t>Послуги у сфері охорони здоров'я, інші</t>
  </si>
  <si>
    <t>86.90.1</t>
  </si>
  <si>
    <t>Ремонтування комп'ютерів і периферійного устатковання</t>
  </si>
  <si>
    <t>95.11.1</t>
  </si>
  <si>
    <t>Послуги щодо прання та хімічного чищення текстильних і хутряних виробів</t>
  </si>
  <si>
    <t>96.01.1</t>
  </si>
  <si>
    <t>+5020,74</t>
  </si>
  <si>
    <t>+9848,48</t>
  </si>
  <si>
    <r>
      <t>75000,00 (сімдесят 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ять тисяч гривень 00 коп)</t>
    </r>
  </si>
  <si>
    <t>Послуги індивідуальні інші, н. в. і. у.</t>
  </si>
  <si>
    <t>96.09.1</t>
  </si>
  <si>
    <t>Разом по КЕКВ 2240</t>
  </si>
  <si>
    <t>334311,69 (триста тридцять чотири тисячі триста одинадцять гривень 69 коп)</t>
  </si>
  <si>
    <r>
      <t>520,00 (п</t>
    </r>
    <r>
      <rPr>
        <sz val="11"/>
        <rFont val="Calibri"/>
        <family val="2"/>
        <charset val="204"/>
      </rPr>
      <t>'</t>
    </r>
    <r>
      <rPr>
        <sz val="11"/>
        <rFont val="Times New Roman"/>
        <family val="1"/>
        <charset val="204"/>
      </rPr>
      <t>ятсот двадцять гривень 00 коп)</t>
    </r>
  </si>
  <si>
    <t>Разом по КЕКВ  2250</t>
  </si>
  <si>
    <r>
      <t>520,00 (п</t>
    </r>
    <r>
      <rPr>
        <b/>
        <sz val="11"/>
        <rFont val="Calibri"/>
        <family val="2"/>
        <charset val="204"/>
      </rPr>
      <t>'</t>
    </r>
    <r>
      <rPr>
        <b/>
        <sz val="11"/>
        <rFont val="Times New Roman"/>
        <family val="1"/>
        <charset val="204"/>
      </rPr>
      <t>ятсот двадцять гривень 00 коп)</t>
    </r>
  </si>
  <si>
    <t>Послуги каналізаційні</t>
  </si>
  <si>
    <t>37.00.1</t>
  </si>
  <si>
    <t>66400,00 (шістдесят шість тисяч чотириста гривень 00 коп)</t>
  </si>
  <si>
    <t>Разом по КЕКВ 2272</t>
  </si>
  <si>
    <t>5461,40 (пять   тисяч чотириста шістдесят одна гривня 40 коп)</t>
  </si>
  <si>
    <t>Послуги освітянські, інші, н. в. і. у.</t>
  </si>
  <si>
    <t>85.59.1</t>
  </si>
  <si>
    <t>480,00 (чотириста вісімдесят гривень 00 коп.)</t>
  </si>
  <si>
    <t xml:space="preserve"> +480,00 спеціальний фонд</t>
  </si>
  <si>
    <t>Разом по КЕКВ 2282</t>
  </si>
  <si>
    <r>
      <t>5941,40 (п</t>
    </r>
    <r>
      <rPr>
        <b/>
        <sz val="11"/>
        <rFont val="Calibri"/>
        <family val="2"/>
        <charset val="204"/>
      </rPr>
      <t>'</t>
    </r>
    <r>
      <rPr>
        <b/>
        <sz val="11"/>
        <rFont val="Times New Roman"/>
        <family val="1"/>
        <charset val="204"/>
      </rPr>
      <t>ять   тисяч дев</t>
    </r>
    <r>
      <rPr>
        <b/>
        <sz val="11"/>
        <rFont val="Calibri"/>
        <family val="2"/>
        <charset val="204"/>
      </rPr>
      <t>'</t>
    </r>
    <r>
      <rPr>
        <b/>
        <sz val="11"/>
        <rFont val="Times New Roman"/>
        <family val="1"/>
        <charset val="204"/>
      </rPr>
      <t>ятсот сорок одна гривня 40 коп)</t>
    </r>
  </si>
  <si>
    <t>Послуги адміністративні щодо регулювання діяльності у сфері охорони здоров'я, освіти, культури та інші соціальні послуги, крім обов'язкового соціального страхування</t>
  </si>
  <si>
    <t>84.12.1</t>
  </si>
  <si>
    <t>4300,00 (чотири  тисячі триста гривень 00 коп)</t>
  </si>
  <si>
    <t>Разом по КЕКВ  2800</t>
  </si>
  <si>
    <t>22600,00 (двадцять дві тисячі шістсот гривень 00 коп)</t>
  </si>
  <si>
    <t>Разом по КЕКВ 3110</t>
  </si>
  <si>
    <t>НАУКА</t>
  </si>
  <si>
    <t>32000,00 (тридцять дві  тисячі гривень 00 коп)</t>
  </si>
  <si>
    <t>Книжки, брошури, рекламні проспекти та подібні матеріали, друковані, інші</t>
  </si>
  <si>
    <t>58.11.1</t>
  </si>
  <si>
    <t>1282,00 (одна тисяча двісті вісімдесят дві гривні 00 коп.)</t>
  </si>
  <si>
    <t xml:space="preserve"> +1282,00 спеціальний фонд            Довідка № 96 від 26.03.2015р</t>
  </si>
  <si>
    <t>43282,00 (сорок три тисячі двісті вісімдесят дві гривні 00 коп)</t>
  </si>
  <si>
    <t>Затверджений рішенням комітету з конкурсних торгів від  02.04.2015 р. №12</t>
  </si>
  <si>
    <t>Голова комітету з конкурсних торгів</t>
  </si>
  <si>
    <t>О.М.Носова</t>
  </si>
  <si>
    <t xml:space="preserve">(прізвище, ініціали)     </t>
  </si>
  <si>
    <t>_______________________</t>
  </si>
  <si>
    <t>Вик.Чернуха О.І. тел.62-40-16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</si>
</sst>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1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3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charset val="204"/>
    </font>
    <font>
      <sz val="10"/>
      <name val="Times New Roman"/>
      <family val="1"/>
      <charset val="204"/>
    </font>
    <font>
      <sz val="11"/>
      <color rgb="FFFF0000"/>
      <name val="Arial Cyr"/>
      <charset val="204"/>
    </font>
    <font>
      <b/>
      <sz val="11"/>
      <name val="Arial Cyr"/>
      <charset val="204"/>
    </font>
    <font>
      <b/>
      <sz val="11"/>
      <name val="Calibri"/>
      <family val="2"/>
      <charset val="204"/>
    </font>
    <font>
      <u/>
      <sz val="10"/>
      <color theme="10"/>
      <name val="Arial Cyr"/>
      <charset val="204"/>
    </font>
    <font>
      <u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06">
    <xf numFmtId="0" fontId="0" fillId="0" borderId="0" xfId="0"/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4" fillId="2" borderId="0" xfId="0" applyFont="1" applyFill="1" applyBorder="1"/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" fontId="5" fillId="2" borderId="2" xfId="0" applyNumberFormat="1" applyFont="1" applyFill="1" applyBorder="1" applyAlignment="1">
      <alignment horizontal="center" vertical="center" wrapText="1"/>
    </xf>
    <xf numFmtId="1" fontId="5" fillId="3" borderId="2" xfId="0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" fontId="5" fillId="3" borderId="5" xfId="0" applyNumberFormat="1" applyFont="1" applyFill="1" applyBorder="1" applyAlignment="1">
      <alignment horizontal="center" vertical="center" wrapText="1"/>
    </xf>
    <xf numFmtId="1" fontId="5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2" fontId="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/>
    <xf numFmtId="2" fontId="4" fillId="2" borderId="5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2" fontId="4" fillId="3" borderId="5" xfId="0" applyNumberFormat="1" applyFont="1" applyFill="1" applyBorder="1"/>
    <xf numFmtId="2" fontId="4" fillId="2" borderId="6" xfId="0" applyNumberFormat="1" applyFont="1" applyFill="1" applyBorder="1"/>
    <xf numFmtId="0" fontId="7" fillId="2" borderId="0" xfId="0" applyFont="1" applyFill="1"/>
    <xf numFmtId="2" fontId="8" fillId="2" borderId="4" xfId="0" applyNumberFormat="1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/>
    <xf numFmtId="1" fontId="8" fillId="2" borderId="5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2" fontId="7" fillId="2" borderId="5" xfId="0" applyNumberFormat="1" applyFont="1" applyFill="1" applyBorder="1"/>
    <xf numFmtId="2" fontId="8" fillId="2" borderId="6" xfId="0" applyNumberFormat="1" applyFont="1" applyFill="1" applyBorder="1" applyAlignment="1">
      <alignment horizontal="left" vertical="center" wrapText="1"/>
    </xf>
    <xf numFmtId="0" fontId="7" fillId="2" borderId="0" xfId="0" applyFont="1" applyFill="1" applyBorder="1"/>
    <xf numFmtId="49" fontId="8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2" fontId="8" fillId="2" borderId="6" xfId="0" applyNumberFormat="1" applyFont="1" applyFill="1" applyBorder="1" applyAlignment="1">
      <alignment horizontal="center" vertical="center" wrapText="1"/>
    </xf>
    <xf numFmtId="2" fontId="11" fillId="2" borderId="6" xfId="0" applyNumberFormat="1" applyFont="1" applyFill="1" applyBorder="1" applyAlignment="1">
      <alignment horizontal="center" vertical="center" wrapText="1"/>
    </xf>
    <xf numFmtId="1" fontId="9" fillId="2" borderId="5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vertical="center" wrapText="1"/>
    </xf>
    <xf numFmtId="0" fontId="8" fillId="2" borderId="5" xfId="0" applyNumberFormat="1" applyFont="1" applyFill="1" applyBorder="1" applyAlignment="1">
      <alignment horizontal="center" vertical="center" wrapText="1"/>
    </xf>
    <xf numFmtId="2" fontId="8" fillId="2" borderId="5" xfId="0" applyNumberFormat="1" applyFont="1" applyFill="1" applyBorder="1" applyAlignment="1">
      <alignment horizontal="left" vertical="center" wrapText="1"/>
    </xf>
    <xf numFmtId="2" fontId="9" fillId="2" borderId="4" xfId="0" applyNumberFormat="1" applyFont="1" applyFill="1" applyBorder="1" applyAlignment="1">
      <alignment horizontal="left" vertical="center" wrapText="1"/>
    </xf>
    <xf numFmtId="2" fontId="9" fillId="3" borderId="5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2" fontId="12" fillId="2" borderId="5" xfId="0" applyNumberFormat="1" applyFont="1" applyFill="1" applyBorder="1"/>
    <xf numFmtId="2" fontId="7" fillId="2" borderId="0" xfId="0" applyNumberFormat="1" applyFont="1" applyFill="1" applyBorder="1"/>
    <xf numFmtId="0" fontId="13" fillId="2" borderId="0" xfId="0" applyFont="1" applyFill="1"/>
    <xf numFmtId="0" fontId="13" fillId="2" borderId="0" xfId="0" applyFont="1" applyFill="1" applyBorder="1"/>
    <xf numFmtId="2" fontId="9" fillId="2" borderId="5" xfId="0" applyNumberFormat="1" applyFont="1" applyFill="1" applyBorder="1" applyAlignment="1">
      <alignment horizontal="left" vertical="center" wrapText="1"/>
    </xf>
    <xf numFmtId="1" fontId="8" fillId="2" borderId="0" xfId="0" applyNumberFormat="1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left" vertical="center" wrapText="1"/>
    </xf>
    <xf numFmtId="2" fontId="8" fillId="2" borderId="0" xfId="0" applyNumberFormat="1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vertical="center" wrapText="1"/>
    </xf>
    <xf numFmtId="2" fontId="9" fillId="2" borderId="6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/>
    <xf numFmtId="2" fontId="11" fillId="2" borderId="6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1" fontId="9" fillId="2" borderId="5" xfId="0" applyNumberFormat="1" applyFont="1" applyFill="1" applyBorder="1" applyAlignment="1">
      <alignment horizontal="left" vertical="center" wrapText="1"/>
    </xf>
    <xf numFmtId="0" fontId="7" fillId="2" borderId="6" xfId="0" applyFont="1" applyFill="1" applyBorder="1"/>
    <xf numFmtId="2" fontId="9" fillId="2" borderId="4" xfId="0" applyNumberFormat="1" applyFont="1" applyFill="1" applyBorder="1" applyAlignment="1">
      <alignment horizontal="center" vertical="center" wrapText="1"/>
    </xf>
    <xf numFmtId="2" fontId="9" fillId="2" borderId="5" xfId="0" applyNumberFormat="1" applyFont="1" applyFill="1" applyBorder="1" applyAlignment="1">
      <alignment horizontal="center" vertical="center" wrapText="1"/>
    </xf>
    <xf numFmtId="1" fontId="7" fillId="2" borderId="5" xfId="0" applyNumberFormat="1" applyFont="1" applyFill="1" applyBorder="1"/>
    <xf numFmtId="2" fontId="8" fillId="2" borderId="7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/>
    <xf numFmtId="2" fontId="8" fillId="3" borderId="7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left" vertical="center" wrapText="1"/>
    </xf>
    <xf numFmtId="0" fontId="13" fillId="2" borderId="8" xfId="1" applyFont="1" applyFill="1" applyBorder="1" applyAlignment="1" applyProtection="1">
      <alignment horizontal="left" vertical="center" wrapText="1"/>
    </xf>
    <xf numFmtId="0" fontId="13" fillId="2" borderId="9" xfId="1" applyFont="1" applyFill="1" applyBorder="1" applyAlignment="1" applyProtection="1">
      <alignment horizontal="left" vertical="center" wrapText="1"/>
    </xf>
    <xf numFmtId="0" fontId="9" fillId="2" borderId="9" xfId="0" applyFont="1" applyFill="1" applyBorder="1" applyAlignment="1">
      <alignment horizontal="center" vertical="center" wrapText="1"/>
    </xf>
    <xf numFmtId="2" fontId="9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/>
    <xf numFmtId="1" fontId="7" fillId="2" borderId="9" xfId="0" applyNumberFormat="1" applyFont="1" applyFill="1" applyBorder="1"/>
    <xf numFmtId="2" fontId="8" fillId="2" borderId="9" xfId="0" applyNumberFormat="1" applyFont="1" applyFill="1" applyBorder="1" applyAlignment="1">
      <alignment horizontal="center" vertical="center" wrapText="1"/>
    </xf>
    <xf numFmtId="2" fontId="9" fillId="3" borderId="9" xfId="0" applyNumberFormat="1" applyFont="1" applyFill="1" applyBorder="1" applyAlignment="1">
      <alignment horizontal="center" vertical="center" wrapText="1"/>
    </xf>
    <xf numFmtId="2" fontId="8" fillId="2" borderId="10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wrapText="1"/>
    </xf>
    <xf numFmtId="0" fontId="16" fillId="2" borderId="0" xfId="0" applyFont="1" applyFill="1" applyBorder="1" applyAlignment="1">
      <alignment horizontal="center" wrapText="1"/>
    </xf>
    <xf numFmtId="0" fontId="16" fillId="3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 wrapText="1"/>
    </xf>
    <xf numFmtId="1" fontId="9" fillId="2" borderId="0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/>
    <xf numFmtId="49" fontId="17" fillId="2" borderId="0" xfId="0" applyNumberFormat="1" applyFont="1" applyFill="1" applyBorder="1"/>
    <xf numFmtId="2" fontId="8" fillId="2" borderId="0" xfId="0" applyNumberFormat="1" applyFont="1" applyFill="1" applyBorder="1"/>
    <xf numFmtId="0" fontId="16" fillId="2" borderId="0" xfId="0" applyFont="1" applyFill="1" applyBorder="1" applyAlignment="1"/>
    <xf numFmtId="0" fontId="8" fillId="2" borderId="0" xfId="0" applyFont="1" applyFill="1" applyBorder="1" applyAlignment="1">
      <alignment vertical="top" wrapText="1"/>
    </xf>
    <xf numFmtId="2" fontId="8" fillId="3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1" fontId="13" fillId="2" borderId="0" xfId="0" applyNumberFormat="1" applyFont="1" applyFill="1" applyBorder="1" applyAlignment="1">
      <alignment horizontal="center" vertical="center"/>
    </xf>
    <xf numFmtId="2" fontId="7" fillId="3" borderId="0" xfId="0" applyNumberFormat="1" applyFont="1" applyFill="1"/>
    <xf numFmtId="2" fontId="9" fillId="2" borderId="0" xfId="0" applyNumberFormat="1" applyFont="1" applyFill="1" applyBorder="1" applyAlignment="1">
      <alignment horizontal="center" vertical="center" wrapText="1"/>
    </xf>
    <xf numFmtId="0" fontId="7" fillId="3" borderId="0" xfId="0" applyFont="1" applyFill="1" applyBorder="1"/>
    <xf numFmtId="0" fontId="7" fillId="3" borderId="0" xfId="0" applyFont="1" applyFill="1"/>
    <xf numFmtId="0" fontId="4" fillId="3" borderId="0" xfId="0" applyFont="1" applyFill="1"/>
    <xf numFmtId="2" fontId="6" fillId="2" borderId="0" xfId="0" applyNumberFormat="1" applyFont="1" applyFill="1" applyBorder="1" applyAlignment="1">
      <alignment horizontal="center" vertical="center" wrapText="1"/>
    </xf>
  </cellXfs>
  <cellStyles count="3">
    <cellStyle name="Гиперссылка 2" xfId="1"/>
    <cellStyle name="Обычный" xfId="0" builtinId="0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dkpp.rv.ua/index.php?level=10.86.1" TargetMode="External"/><Relationship Id="rId117" Type="http://schemas.openxmlformats.org/officeDocument/2006/relationships/hyperlink" Target="http://dkpp.rv.ua/index.php?level=29.32.3" TargetMode="External"/><Relationship Id="rId21" Type="http://schemas.openxmlformats.org/officeDocument/2006/relationships/hyperlink" Target="http://dkpp.rv.ua/index.php?level=62.01.11" TargetMode="External"/><Relationship Id="rId42" Type="http://schemas.openxmlformats.org/officeDocument/2006/relationships/hyperlink" Target="http://dkpp.rv.ua/index.php?level=96.09.1" TargetMode="External"/><Relationship Id="rId47" Type="http://schemas.openxmlformats.org/officeDocument/2006/relationships/hyperlink" Target="http://dkpp.rv.ua/index.php?level=17.12.7" TargetMode="External"/><Relationship Id="rId63" Type="http://schemas.openxmlformats.org/officeDocument/2006/relationships/hyperlink" Target="http://dkpp.rv.ua/index.php?level=22.22.1" TargetMode="External"/><Relationship Id="rId68" Type="http://schemas.openxmlformats.org/officeDocument/2006/relationships/hyperlink" Target="http://dkpp.rv.ua/index.php?level=23.52.2" TargetMode="External"/><Relationship Id="rId84" Type="http://schemas.openxmlformats.org/officeDocument/2006/relationships/hyperlink" Target="http://dkpp.rv.ua/index.php?level=25.99.1" TargetMode="External"/><Relationship Id="rId89" Type="http://schemas.openxmlformats.org/officeDocument/2006/relationships/hyperlink" Target="http://dkpp.rv.ua/index.php?level=22.19.2" TargetMode="External"/><Relationship Id="rId112" Type="http://schemas.openxmlformats.org/officeDocument/2006/relationships/hyperlink" Target="http://dkpp.rv.ua/index.php?level=24.44.2" TargetMode="External"/><Relationship Id="rId16" Type="http://schemas.openxmlformats.org/officeDocument/2006/relationships/hyperlink" Target="http://dk16.dovidnyk.info/index.php?rozd=19660" TargetMode="External"/><Relationship Id="rId107" Type="http://schemas.openxmlformats.org/officeDocument/2006/relationships/hyperlink" Target="http://dkpp.rv.ua/index.php?level=27.20.2" TargetMode="External"/><Relationship Id="rId11" Type="http://schemas.openxmlformats.org/officeDocument/2006/relationships/hyperlink" Target="http://dk16.dovidnyk.info/index.php?rozd=20630" TargetMode="External"/><Relationship Id="rId32" Type="http://schemas.openxmlformats.org/officeDocument/2006/relationships/hyperlink" Target="http://dkpp.rv.ua/index.php?level=20.59.6" TargetMode="External"/><Relationship Id="rId37" Type="http://schemas.openxmlformats.org/officeDocument/2006/relationships/hyperlink" Target="http://dkpp.rv.ua/index.php?level=33.13.1" TargetMode="External"/><Relationship Id="rId53" Type="http://schemas.openxmlformats.org/officeDocument/2006/relationships/hyperlink" Target="http://dkpp.rv.ua/index.php?level=25.73.3" TargetMode="External"/><Relationship Id="rId58" Type="http://schemas.openxmlformats.org/officeDocument/2006/relationships/hyperlink" Target="http://dkpp.rv.ua/index.php?level=28.30.4" TargetMode="External"/><Relationship Id="rId74" Type="http://schemas.openxmlformats.org/officeDocument/2006/relationships/hyperlink" Target="http://dk16.dovidnyk.info/index.php?rozd=14094" TargetMode="External"/><Relationship Id="rId79" Type="http://schemas.openxmlformats.org/officeDocument/2006/relationships/hyperlink" Target="http://dkpp.rv.ua/index.php?search=43.22.1&amp;type=code" TargetMode="External"/><Relationship Id="rId102" Type="http://schemas.openxmlformats.org/officeDocument/2006/relationships/hyperlink" Target="http://dkpp.rv.ua/index.php?level=13.92.2" TargetMode="External"/><Relationship Id="rId123" Type="http://schemas.openxmlformats.org/officeDocument/2006/relationships/hyperlink" Target="http://dkpp.rv.ua/index.php?level=23.19.2" TargetMode="External"/><Relationship Id="rId5" Type="http://schemas.openxmlformats.org/officeDocument/2006/relationships/hyperlink" Target="http://dk16.dovidnyk.info/index.php?rozd=21156" TargetMode="External"/><Relationship Id="rId61" Type="http://schemas.openxmlformats.org/officeDocument/2006/relationships/hyperlink" Target="http://dk16.dovidnyk.info/index.php?rozd=20759" TargetMode="External"/><Relationship Id="rId82" Type="http://schemas.openxmlformats.org/officeDocument/2006/relationships/hyperlink" Target="http://dkpp.rv.ua/index.php?level=17.22.1" TargetMode="External"/><Relationship Id="rId90" Type="http://schemas.openxmlformats.org/officeDocument/2006/relationships/hyperlink" Target="http://dkpp.rv.ua/index.php?level=22.19.7" TargetMode="External"/><Relationship Id="rId95" Type="http://schemas.openxmlformats.org/officeDocument/2006/relationships/hyperlink" Target="http://dk16.dovidnyk.info/index.php?rozd=19868" TargetMode="External"/><Relationship Id="rId19" Type="http://schemas.openxmlformats.org/officeDocument/2006/relationships/hyperlink" Target="http://dk16.dovidnyk.info/index.php?rozd=16838" TargetMode="External"/><Relationship Id="rId14" Type="http://schemas.openxmlformats.org/officeDocument/2006/relationships/hyperlink" Target="http://dk16.dovidnyk.info/index.php?rozd=19647" TargetMode="External"/><Relationship Id="rId22" Type="http://schemas.openxmlformats.org/officeDocument/2006/relationships/hyperlink" Target="http://dk16.dovidnyk.info/index.php?rozd=20630" TargetMode="External"/><Relationship Id="rId27" Type="http://schemas.openxmlformats.org/officeDocument/2006/relationships/hyperlink" Target="http://dkpp.rv.ua/index.php?level=26.51.5" TargetMode="External"/><Relationship Id="rId30" Type="http://schemas.openxmlformats.org/officeDocument/2006/relationships/hyperlink" Target="http://dkpp.rv.ua/index.php?level=20.30.2" TargetMode="External"/><Relationship Id="rId35" Type="http://schemas.openxmlformats.org/officeDocument/2006/relationships/hyperlink" Target="http://dk16.dovidnyk.info/index.php?rozd=9694" TargetMode="External"/><Relationship Id="rId43" Type="http://schemas.openxmlformats.org/officeDocument/2006/relationships/hyperlink" Target="http://dkpp.rv.ua/index.php?search=22.23.1&amp;type=code" TargetMode="External"/><Relationship Id="rId48" Type="http://schemas.openxmlformats.org/officeDocument/2006/relationships/hyperlink" Target="http://dkpp.rv.ua/index.php?level=22.21.2" TargetMode="External"/><Relationship Id="rId56" Type="http://schemas.openxmlformats.org/officeDocument/2006/relationships/hyperlink" Target="http://dkpp.rv.ua/index.php?level=25.73.2" TargetMode="External"/><Relationship Id="rId64" Type="http://schemas.openxmlformats.org/officeDocument/2006/relationships/hyperlink" Target="http://dkpp.rv.ua/index.php?level=20.52.1" TargetMode="External"/><Relationship Id="rId69" Type="http://schemas.openxmlformats.org/officeDocument/2006/relationships/hyperlink" Target="http://dkpp.rv.ua/index.php?level=25.71.1" TargetMode="External"/><Relationship Id="rId77" Type="http://schemas.openxmlformats.org/officeDocument/2006/relationships/hyperlink" Target="http://dkpp.rv.ua/index.php?level=32.50.1" TargetMode="External"/><Relationship Id="rId100" Type="http://schemas.openxmlformats.org/officeDocument/2006/relationships/hyperlink" Target="http://dk16.dovidnyk.info/index.php?rozd=12291" TargetMode="External"/><Relationship Id="rId105" Type="http://schemas.openxmlformats.org/officeDocument/2006/relationships/hyperlink" Target="http://dkpp.rv.ua/index.php?level=58.29.5" TargetMode="External"/><Relationship Id="rId113" Type="http://schemas.openxmlformats.org/officeDocument/2006/relationships/hyperlink" Target="http://dkpp.rv.ua/index.php?level=25.73.4" TargetMode="External"/><Relationship Id="rId118" Type="http://schemas.openxmlformats.org/officeDocument/2006/relationships/hyperlink" Target="http://dkpp.rv.ua/index.php?level=13.94.2" TargetMode="External"/><Relationship Id="rId8" Type="http://schemas.openxmlformats.org/officeDocument/2006/relationships/hyperlink" Target="http://dk16.dovidnyk.info/index.php?rozd=19859" TargetMode="External"/><Relationship Id="rId51" Type="http://schemas.openxmlformats.org/officeDocument/2006/relationships/hyperlink" Target="http://dkpp.rv.ua/index.php?level=24.20.4" TargetMode="External"/><Relationship Id="rId72" Type="http://schemas.openxmlformats.org/officeDocument/2006/relationships/hyperlink" Target="http://dkpp.rv.ua/index.php?level=84.12.1" TargetMode="External"/><Relationship Id="rId80" Type="http://schemas.openxmlformats.org/officeDocument/2006/relationships/hyperlink" Target="http://dk16.dovidnyk.info/index.php?rozd=14094" TargetMode="External"/><Relationship Id="rId85" Type="http://schemas.openxmlformats.org/officeDocument/2006/relationships/hyperlink" Target="http://dk16.dovidnyk.info/index.php?rozd=9694" TargetMode="External"/><Relationship Id="rId93" Type="http://schemas.openxmlformats.org/officeDocument/2006/relationships/hyperlink" Target="http://dkpp.rv.ua/index.php?level=26.20.1" TargetMode="External"/><Relationship Id="rId98" Type="http://schemas.openxmlformats.org/officeDocument/2006/relationships/hyperlink" Target="http://dkpp.rv.ua/index.php?level=28.25.1" TargetMode="External"/><Relationship Id="rId121" Type="http://schemas.openxmlformats.org/officeDocument/2006/relationships/hyperlink" Target="http://dkpp.rv.ua/index.php?level=26.20.1" TargetMode="External"/><Relationship Id="rId3" Type="http://schemas.openxmlformats.org/officeDocument/2006/relationships/hyperlink" Target="http://dk16.dovidnyk.info/index.php?rozd=9872" TargetMode="External"/><Relationship Id="rId12" Type="http://schemas.openxmlformats.org/officeDocument/2006/relationships/hyperlink" Target="http://dk16.dovidnyk.info/index.php?rozd=16953" TargetMode="External"/><Relationship Id="rId17" Type="http://schemas.openxmlformats.org/officeDocument/2006/relationships/hyperlink" Target="http://dk16.dovidnyk.info/index.php?rozd=19660" TargetMode="External"/><Relationship Id="rId25" Type="http://schemas.openxmlformats.org/officeDocument/2006/relationships/hyperlink" Target="http://dk16.dovidnyk.info/index.php?rozd=9694" TargetMode="External"/><Relationship Id="rId33" Type="http://schemas.openxmlformats.org/officeDocument/2006/relationships/hyperlink" Target="http://dkpp.rv.ua/index.php?level=22.29.2" TargetMode="External"/><Relationship Id="rId38" Type="http://schemas.openxmlformats.org/officeDocument/2006/relationships/hyperlink" Target="http://dkpp.rv.ua/index.php?level=22.29.2" TargetMode="External"/><Relationship Id="rId46" Type="http://schemas.openxmlformats.org/officeDocument/2006/relationships/hyperlink" Target="http://dkpp.rv.ua/index.php?level=31.03.1" TargetMode="External"/><Relationship Id="rId59" Type="http://schemas.openxmlformats.org/officeDocument/2006/relationships/hyperlink" Target="http://dkpp.rv.ua/index.php?level=21.10.6" TargetMode="External"/><Relationship Id="rId67" Type="http://schemas.openxmlformats.org/officeDocument/2006/relationships/hyperlink" Target="http://dkpp.rv.ua/index.php?level=22.21.4" TargetMode="External"/><Relationship Id="rId103" Type="http://schemas.openxmlformats.org/officeDocument/2006/relationships/hyperlink" Target="http://dkpp.rv.ua/index.php?level=13.92.1" TargetMode="External"/><Relationship Id="rId108" Type="http://schemas.openxmlformats.org/officeDocument/2006/relationships/hyperlink" Target="http://dkpp.rv.ua/index.php?level=08.11.3" TargetMode="External"/><Relationship Id="rId116" Type="http://schemas.openxmlformats.org/officeDocument/2006/relationships/hyperlink" Target="http://dkpp.rv.ua/index.php?level=32.91.1" TargetMode="External"/><Relationship Id="rId124" Type="http://schemas.openxmlformats.org/officeDocument/2006/relationships/printerSettings" Target="../printerSettings/printerSettings1.bin"/><Relationship Id="rId20" Type="http://schemas.openxmlformats.org/officeDocument/2006/relationships/hyperlink" Target="http://dkpp.rv.ua/index.php?level=20.11.1" TargetMode="External"/><Relationship Id="rId41" Type="http://schemas.openxmlformats.org/officeDocument/2006/relationships/hyperlink" Target="http://dk16.dovidnyk.info/index.php?rozd=21201" TargetMode="External"/><Relationship Id="rId54" Type="http://schemas.openxmlformats.org/officeDocument/2006/relationships/hyperlink" Target="http://dkpp.rv.ua/index.php?level=25.73.2" TargetMode="External"/><Relationship Id="rId62" Type="http://schemas.openxmlformats.org/officeDocument/2006/relationships/hyperlink" Target="http://dkpp.rv.ua/index.php?level=80.20.1" TargetMode="External"/><Relationship Id="rId70" Type="http://schemas.openxmlformats.org/officeDocument/2006/relationships/hyperlink" Target="http://dkpp.rv.ua/index.php?level=33.14.1" TargetMode="External"/><Relationship Id="rId75" Type="http://schemas.openxmlformats.org/officeDocument/2006/relationships/hyperlink" Target="http://dk16.dovidnyk.info/index.php?rozd=10488" TargetMode="External"/><Relationship Id="rId83" Type="http://schemas.openxmlformats.org/officeDocument/2006/relationships/hyperlink" Target="http://dkpp.rv.ua/index.php?level=25.94.1" TargetMode="External"/><Relationship Id="rId88" Type="http://schemas.openxmlformats.org/officeDocument/2006/relationships/hyperlink" Target="http://dkpp.rv.ua/index.php?level=37.00.1" TargetMode="External"/><Relationship Id="rId91" Type="http://schemas.openxmlformats.org/officeDocument/2006/relationships/hyperlink" Target="http://dkpp.rv.ua/index.php?level=10.51.1" TargetMode="External"/><Relationship Id="rId96" Type="http://schemas.openxmlformats.org/officeDocument/2006/relationships/hyperlink" Target="http://dkpp.rv.ua/index.php?level=23.42.1" TargetMode="External"/><Relationship Id="rId111" Type="http://schemas.openxmlformats.org/officeDocument/2006/relationships/hyperlink" Target="http://dkpp.rv.ua/index.php?level=23.52.1" TargetMode="External"/><Relationship Id="rId1" Type="http://schemas.openxmlformats.org/officeDocument/2006/relationships/hyperlink" Target="http://dk16.dovidnyk.info/index.php?rozd=16868" TargetMode="External"/><Relationship Id="rId6" Type="http://schemas.openxmlformats.org/officeDocument/2006/relationships/hyperlink" Target="http://dk16.dovidnyk.info/index.php?rozd=20759" TargetMode="External"/><Relationship Id="rId15" Type="http://schemas.openxmlformats.org/officeDocument/2006/relationships/hyperlink" Target="http://dk16.dovidnyk.info/index.php?rozd=19647" TargetMode="External"/><Relationship Id="rId23" Type="http://schemas.openxmlformats.org/officeDocument/2006/relationships/hyperlink" Target="http://dkpp.rv.ua/index.php?level=86.90.1" TargetMode="External"/><Relationship Id="rId28" Type="http://schemas.openxmlformats.org/officeDocument/2006/relationships/hyperlink" Target="http://dk16.dovidnyk.info/index.php?rozd=19408" TargetMode="External"/><Relationship Id="rId36" Type="http://schemas.openxmlformats.org/officeDocument/2006/relationships/hyperlink" Target="http://dkpp.rv.ua/index.php?level=38.32.1" TargetMode="External"/><Relationship Id="rId49" Type="http://schemas.openxmlformats.org/officeDocument/2006/relationships/hyperlink" Target="http://dkpp.rv.ua/index.php?level=23.20.1" TargetMode="External"/><Relationship Id="rId57" Type="http://schemas.openxmlformats.org/officeDocument/2006/relationships/hyperlink" Target="http://dkpp.rv.ua/index.php?level=28.14.1" TargetMode="External"/><Relationship Id="rId106" Type="http://schemas.openxmlformats.org/officeDocument/2006/relationships/hyperlink" Target="http://dkpp.rv.ua/index.php?level=17.29.1" TargetMode="External"/><Relationship Id="rId114" Type="http://schemas.openxmlformats.org/officeDocument/2006/relationships/hyperlink" Target="http://dkpp.rv.ua/index.php?level=25.73.4" TargetMode="External"/><Relationship Id="rId119" Type="http://schemas.openxmlformats.org/officeDocument/2006/relationships/hyperlink" Target="http://dkpp.rv.ua/index.php?level=38.32.2" TargetMode="External"/><Relationship Id="rId10" Type="http://schemas.openxmlformats.org/officeDocument/2006/relationships/hyperlink" Target="http://dk16.dovidnyk.info/index.php?rozd=16868" TargetMode="External"/><Relationship Id="rId31" Type="http://schemas.openxmlformats.org/officeDocument/2006/relationships/hyperlink" Target="http://dkpp.rv.ua/index.php?level=20.13.6" TargetMode="External"/><Relationship Id="rId44" Type="http://schemas.openxmlformats.org/officeDocument/2006/relationships/hyperlink" Target="http://dkpp.rv.ua/index.php?level=22.23.1" TargetMode="External"/><Relationship Id="rId52" Type="http://schemas.openxmlformats.org/officeDocument/2006/relationships/hyperlink" Target="http://dkpp.rv.ua/index.php?level=25.72.1" TargetMode="External"/><Relationship Id="rId60" Type="http://schemas.openxmlformats.org/officeDocument/2006/relationships/hyperlink" Target="http://dkpp.rv.ua/index.php?level=32.91.1" TargetMode="External"/><Relationship Id="rId65" Type="http://schemas.openxmlformats.org/officeDocument/2006/relationships/hyperlink" Target="http://dkpp.rv.ua/index.php?level=26.11.3" TargetMode="External"/><Relationship Id="rId73" Type="http://schemas.openxmlformats.org/officeDocument/2006/relationships/hyperlink" Target="http://dkpp.rv.ua/index.php?level=86.10.1" TargetMode="External"/><Relationship Id="rId78" Type="http://schemas.openxmlformats.org/officeDocument/2006/relationships/hyperlink" Target="http://dkpp.rv.ua/index.php?level=43.22.1" TargetMode="External"/><Relationship Id="rId81" Type="http://schemas.openxmlformats.org/officeDocument/2006/relationships/hyperlink" Target="http://dkpp.rv.ua/index.php?level=29.31.2" TargetMode="External"/><Relationship Id="rId86" Type="http://schemas.openxmlformats.org/officeDocument/2006/relationships/hyperlink" Target="http://dk16.dovidnyk.info/index.php?rozd=484" TargetMode="External"/><Relationship Id="rId94" Type="http://schemas.openxmlformats.org/officeDocument/2006/relationships/hyperlink" Target="http://dkpp.rv.ua/index.php?level=63.99.1" TargetMode="External"/><Relationship Id="rId99" Type="http://schemas.openxmlformats.org/officeDocument/2006/relationships/hyperlink" Target="http://dkpp.rv.ua/index.php?level=32.50.1" TargetMode="External"/><Relationship Id="rId101" Type="http://schemas.openxmlformats.org/officeDocument/2006/relationships/hyperlink" Target="http://dkpp.rv.ua/index.php?level=26.20.1" TargetMode="External"/><Relationship Id="rId122" Type="http://schemas.openxmlformats.org/officeDocument/2006/relationships/hyperlink" Target="http://dkpp.rv.ua/index.php?level=85.59.1" TargetMode="External"/><Relationship Id="rId4" Type="http://schemas.openxmlformats.org/officeDocument/2006/relationships/hyperlink" Target="http://dk16.dovidnyk.info/index.php?rozd=19731" TargetMode="External"/><Relationship Id="rId9" Type="http://schemas.openxmlformats.org/officeDocument/2006/relationships/hyperlink" Target="http://dk16.dovidnyk.info/index.php?rozd=19816" TargetMode="External"/><Relationship Id="rId13" Type="http://schemas.openxmlformats.org/officeDocument/2006/relationships/hyperlink" Target="http://dk16.dovidnyk.info/index.php?rozd=20211" TargetMode="External"/><Relationship Id="rId18" Type="http://schemas.openxmlformats.org/officeDocument/2006/relationships/hyperlink" Target="http://dk16.dovidnyk.info/index.php?rozd=16838" TargetMode="External"/><Relationship Id="rId39" Type="http://schemas.openxmlformats.org/officeDocument/2006/relationships/hyperlink" Target="http://dkpp.rv.ua/index.php?level=17.29.1" TargetMode="External"/><Relationship Id="rId109" Type="http://schemas.openxmlformats.org/officeDocument/2006/relationships/hyperlink" Target="http://dkpp.rv.ua/index.php?level=22.21.2" TargetMode="External"/><Relationship Id="rId34" Type="http://schemas.openxmlformats.org/officeDocument/2006/relationships/hyperlink" Target="http://dkpp.rv.ua/index.php?level=74.90.1" TargetMode="External"/><Relationship Id="rId50" Type="http://schemas.openxmlformats.org/officeDocument/2006/relationships/hyperlink" Target="http://dkpp.rv.ua/index.php?level=23.51.1" TargetMode="External"/><Relationship Id="rId55" Type="http://schemas.openxmlformats.org/officeDocument/2006/relationships/hyperlink" Target="http://dkpp.rv.ua/index.php?level=25.73.1" TargetMode="External"/><Relationship Id="rId76" Type="http://schemas.openxmlformats.org/officeDocument/2006/relationships/hyperlink" Target="http://dk16.dovidnyk.info/index.php?rozd=10488" TargetMode="External"/><Relationship Id="rId97" Type="http://schemas.openxmlformats.org/officeDocument/2006/relationships/hyperlink" Target="http://dkpp.rv.ua/index.php?level=28.29.1" TargetMode="External"/><Relationship Id="rId104" Type="http://schemas.openxmlformats.org/officeDocument/2006/relationships/hyperlink" Target="http://dkpp.rv.ua/index.php?level=32.50.5" TargetMode="External"/><Relationship Id="rId120" Type="http://schemas.openxmlformats.org/officeDocument/2006/relationships/hyperlink" Target="http://dkpp.rv.ua/index.php?level=38.11.5" TargetMode="External"/><Relationship Id="rId7" Type="http://schemas.openxmlformats.org/officeDocument/2006/relationships/hyperlink" Target="http://dk16.dovidnyk.info/index.php?rozd=21201" TargetMode="External"/><Relationship Id="rId71" Type="http://schemas.openxmlformats.org/officeDocument/2006/relationships/hyperlink" Target="http://dkpp.rv.ua/index.php?level=63.11.1" TargetMode="External"/><Relationship Id="rId92" Type="http://schemas.openxmlformats.org/officeDocument/2006/relationships/hyperlink" Target="http://dkpp.rv.ua/index.php?level=20.13.5" TargetMode="External"/><Relationship Id="rId2" Type="http://schemas.openxmlformats.org/officeDocument/2006/relationships/hyperlink" Target="http://dk16.dovidnyk.info/index.php?rozd=16953" TargetMode="External"/><Relationship Id="rId29" Type="http://schemas.openxmlformats.org/officeDocument/2006/relationships/hyperlink" Target="http://dk16.dovidnyk.info/index.php?rozd=19408" TargetMode="External"/><Relationship Id="rId24" Type="http://schemas.openxmlformats.org/officeDocument/2006/relationships/hyperlink" Target="http://dk16.dovidnyk.info/index.php?rozd=9872" TargetMode="External"/><Relationship Id="rId40" Type="http://schemas.openxmlformats.org/officeDocument/2006/relationships/hyperlink" Target="http://dk16.dovidnyk.info/index.php?rozd=14751" TargetMode="External"/><Relationship Id="rId45" Type="http://schemas.openxmlformats.org/officeDocument/2006/relationships/hyperlink" Target="http://dkpp.rv.ua/index.php?level=38.11.2" TargetMode="External"/><Relationship Id="rId66" Type="http://schemas.openxmlformats.org/officeDocument/2006/relationships/hyperlink" Target="http://dkpp.rv.ua/index.php?level=32.99.1" TargetMode="External"/><Relationship Id="rId87" Type="http://schemas.openxmlformats.org/officeDocument/2006/relationships/hyperlink" Target="http://dkpp.rv.ua/index.php?level=29.10.1" TargetMode="External"/><Relationship Id="rId110" Type="http://schemas.openxmlformats.org/officeDocument/2006/relationships/hyperlink" Target="http://dkpp.rv.ua/index.php?level=23.51.1" TargetMode="External"/><Relationship Id="rId115" Type="http://schemas.openxmlformats.org/officeDocument/2006/relationships/hyperlink" Target="http://dkpp.rv.ua/index.php?level=27.32.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56"/>
  <sheetViews>
    <sheetView tabSelected="1" view="pageBreakPreview" topLeftCell="A207" zoomScale="115" zoomScaleNormal="100" zoomScaleSheetLayoutView="115" workbookViewId="0">
      <selection activeCell="AM48" sqref="AM48"/>
    </sheetView>
  </sheetViews>
  <sheetFormatPr defaultColWidth="15.5703125" defaultRowHeight="38.25" customHeight="1" x14ac:dyDescent="0.2"/>
  <cols>
    <col min="1" max="1" width="2.28515625" style="17" customWidth="1"/>
    <col min="2" max="2" width="36.85546875" style="17" customWidth="1"/>
    <col min="3" max="3" width="8.7109375" style="17" customWidth="1"/>
    <col min="4" max="4" width="9.140625" style="17" customWidth="1"/>
    <col min="5" max="5" width="11.42578125" style="17" hidden="1" customWidth="1"/>
    <col min="6" max="6" width="12.42578125" style="17" hidden="1" customWidth="1"/>
    <col min="7" max="7" width="10.5703125" style="17" hidden="1" customWidth="1"/>
    <col min="8" max="8" width="5.5703125" style="17" hidden="1" customWidth="1"/>
    <col min="9" max="9" width="10.7109375" style="17" hidden="1" customWidth="1"/>
    <col min="10" max="10" width="9.28515625" style="17" hidden="1" customWidth="1"/>
    <col min="11" max="11" width="9.42578125" style="17" hidden="1" customWidth="1"/>
    <col min="12" max="12" width="11.28515625" style="17" hidden="1" customWidth="1"/>
    <col min="13" max="13" width="9.5703125" style="17" hidden="1" customWidth="1"/>
    <col min="14" max="14" width="9.28515625" style="17" hidden="1" customWidth="1"/>
    <col min="15" max="15" width="8.7109375" style="17" hidden="1" customWidth="1"/>
    <col min="16" max="16" width="13.42578125" style="17" hidden="1" customWidth="1"/>
    <col min="17" max="17" width="13.7109375" style="17" hidden="1" customWidth="1"/>
    <col min="18" max="18" width="8" style="17" hidden="1" customWidth="1"/>
    <col min="19" max="19" width="11.7109375" style="17" hidden="1" customWidth="1"/>
    <col min="20" max="25" width="15.5703125" style="17" hidden="1" customWidth="1"/>
    <col min="26" max="27" width="11.85546875" style="17" hidden="1" customWidth="1"/>
    <col min="28" max="28" width="10.7109375" style="17" hidden="1" customWidth="1"/>
    <col min="29" max="29" width="12" style="17" hidden="1" customWidth="1"/>
    <col min="30" max="31" width="11.85546875" style="17" hidden="1" customWidth="1"/>
    <col min="32" max="32" width="0.28515625" style="17" hidden="1" customWidth="1"/>
    <col min="33" max="33" width="19.140625" style="17" customWidth="1"/>
    <col min="34" max="34" width="15.85546875" style="104" hidden="1" customWidth="1"/>
    <col min="35" max="35" width="13.140625" style="17" customWidth="1"/>
    <col min="36" max="36" width="12.28515625" style="17" hidden="1" customWidth="1"/>
    <col min="37" max="37" width="14.140625" style="17" customWidth="1"/>
    <col min="38" max="38" width="15.140625" style="17" customWidth="1"/>
    <col min="39" max="39" width="18.85546875" style="17" customWidth="1"/>
    <col min="40" max="41" width="12" style="17" customWidth="1"/>
    <col min="42" max="16384" width="15.5703125" style="17"/>
  </cols>
  <sheetData>
    <row r="1" spans="1:41" s="2" customFormat="1" ht="33.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41" s="2" customFormat="1" ht="15.6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41" s="2" customFormat="1" ht="53.45" customHeight="1" thickBot="1" x14ac:dyDescent="0.3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41" s="3" customFormat="1" ht="38.25" customHeight="1" x14ac:dyDescent="0.2">
      <c r="B4" s="4" t="s">
        <v>3</v>
      </c>
      <c r="C4" s="5"/>
      <c r="D4" s="5" t="s">
        <v>4</v>
      </c>
      <c r="E4" s="5" t="s">
        <v>5</v>
      </c>
      <c r="F4" s="5"/>
      <c r="G4" s="6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5" t="s">
        <v>13</v>
      </c>
      <c r="O4" s="5" t="s">
        <v>14</v>
      </c>
      <c r="P4" s="5" t="s">
        <v>15</v>
      </c>
      <c r="Q4" s="5" t="s">
        <v>16</v>
      </c>
      <c r="R4" s="5" t="s">
        <v>17</v>
      </c>
      <c r="S4" s="5" t="s">
        <v>18</v>
      </c>
      <c r="T4" s="5" t="s">
        <v>19</v>
      </c>
      <c r="U4" s="5" t="s">
        <v>20</v>
      </c>
      <c r="V4" s="5" t="s">
        <v>21</v>
      </c>
      <c r="W4" s="5" t="s">
        <v>22</v>
      </c>
      <c r="X4" s="5" t="s">
        <v>23</v>
      </c>
      <c r="Y4" s="5" t="s">
        <v>24</v>
      </c>
      <c r="Z4" s="5" t="s">
        <v>25</v>
      </c>
      <c r="AA4" s="5" t="s">
        <v>26</v>
      </c>
      <c r="AB4" s="5" t="s">
        <v>27</v>
      </c>
      <c r="AC4" s="5" t="s">
        <v>28</v>
      </c>
      <c r="AD4" s="5" t="s">
        <v>29</v>
      </c>
      <c r="AE4" s="5" t="s">
        <v>30</v>
      </c>
      <c r="AF4" s="5" t="s">
        <v>31</v>
      </c>
      <c r="AG4" s="6" t="s">
        <v>6</v>
      </c>
      <c r="AH4" s="7"/>
      <c r="AI4" s="6" t="s">
        <v>32</v>
      </c>
      <c r="AJ4" s="6"/>
      <c r="AK4" s="6" t="s">
        <v>33</v>
      </c>
      <c r="AL4" s="8" t="s">
        <v>7</v>
      </c>
    </row>
    <row r="5" spans="1:41" s="3" customFormat="1" ht="67.900000000000006" customHeight="1" x14ac:dyDescent="0.2">
      <c r="B5" s="9"/>
      <c r="C5" s="10"/>
      <c r="D5" s="10"/>
      <c r="E5" s="11" t="s">
        <v>34</v>
      </c>
      <c r="F5" s="12" t="s">
        <v>35</v>
      </c>
      <c r="G5" s="1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3"/>
      <c r="AH5" s="14"/>
      <c r="AI5" s="13"/>
      <c r="AJ5" s="13"/>
      <c r="AK5" s="13"/>
      <c r="AL5" s="15"/>
      <c r="AO5" s="16"/>
    </row>
    <row r="6" spans="1:41" ht="21.75" customHeight="1" x14ac:dyDescent="0.2">
      <c r="B6" s="18">
        <v>1</v>
      </c>
      <c r="C6" s="19"/>
      <c r="D6" s="20">
        <v>2</v>
      </c>
      <c r="E6" s="20">
        <v>4</v>
      </c>
      <c r="F6" s="20">
        <v>5</v>
      </c>
      <c r="G6" s="20">
        <v>6</v>
      </c>
      <c r="H6" s="20">
        <v>7</v>
      </c>
      <c r="I6" s="21"/>
      <c r="J6" s="21"/>
      <c r="K6" s="21"/>
      <c r="L6" s="22"/>
      <c r="M6" s="22"/>
      <c r="N6" s="22"/>
      <c r="O6" s="22"/>
      <c r="P6" s="22"/>
      <c r="Q6" s="22"/>
      <c r="R6" s="22"/>
      <c r="S6" s="22"/>
      <c r="T6" s="23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0">
        <v>3</v>
      </c>
      <c r="AH6" s="24"/>
      <c r="AI6" s="20">
        <v>4</v>
      </c>
      <c r="AJ6" s="20"/>
      <c r="AK6" s="20">
        <v>5</v>
      </c>
      <c r="AL6" s="25">
        <v>6</v>
      </c>
      <c r="AO6" s="16"/>
    </row>
    <row r="7" spans="1:41" ht="15.75" x14ac:dyDescent="0.2">
      <c r="B7" s="9" t="s">
        <v>36</v>
      </c>
      <c r="C7" s="10"/>
      <c r="D7" s="10"/>
      <c r="E7" s="10"/>
      <c r="F7" s="10"/>
      <c r="G7" s="10"/>
      <c r="H7" s="10"/>
      <c r="I7" s="21"/>
      <c r="J7" s="21"/>
      <c r="K7" s="21"/>
      <c r="L7" s="22"/>
      <c r="M7" s="22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3"/>
      <c r="AH7" s="26"/>
      <c r="AI7" s="23"/>
      <c r="AJ7" s="23"/>
      <c r="AK7" s="23"/>
      <c r="AL7" s="27"/>
      <c r="AO7" s="3"/>
    </row>
    <row r="8" spans="1:41" s="28" customFormat="1" ht="45" x14ac:dyDescent="0.2">
      <c r="B8" s="29" t="s">
        <v>37</v>
      </c>
      <c r="C8" s="30" t="s">
        <v>38</v>
      </c>
      <c r="D8" s="30">
        <v>2210</v>
      </c>
      <c r="E8" s="31"/>
      <c r="F8" s="31"/>
      <c r="G8" s="31"/>
      <c r="H8" s="31"/>
      <c r="I8" s="32"/>
      <c r="J8" s="32"/>
      <c r="K8" s="32"/>
      <c r="L8" s="33"/>
      <c r="M8" s="33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4" t="s">
        <v>39</v>
      </c>
      <c r="AH8" s="35">
        <v>114.75</v>
      </c>
      <c r="AI8" s="36"/>
      <c r="AJ8" s="36"/>
      <c r="AK8" s="36"/>
      <c r="AL8" s="37"/>
      <c r="AO8" s="38"/>
    </row>
    <row r="9" spans="1:41" s="28" customFormat="1" ht="75" x14ac:dyDescent="0.2">
      <c r="B9" s="29" t="s">
        <v>40</v>
      </c>
      <c r="C9" s="34" t="s">
        <v>41</v>
      </c>
      <c r="D9" s="34">
        <v>2210</v>
      </c>
      <c r="E9" s="32"/>
      <c r="F9" s="39"/>
      <c r="G9" s="32"/>
      <c r="H9" s="40"/>
      <c r="I9" s="41"/>
      <c r="J9" s="32"/>
      <c r="K9" s="32"/>
      <c r="L9" s="33"/>
      <c r="M9" s="32"/>
      <c r="N9" s="32"/>
      <c r="O9" s="32"/>
      <c r="P9" s="32"/>
      <c r="Q9" s="32"/>
      <c r="R9" s="32"/>
      <c r="S9" s="39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4" t="s">
        <v>42</v>
      </c>
      <c r="AH9" s="35">
        <v>1140</v>
      </c>
      <c r="AI9" s="32"/>
      <c r="AJ9" s="32"/>
      <c r="AK9" s="32"/>
      <c r="AL9" s="37"/>
    </row>
    <row r="10" spans="1:41" s="28" customFormat="1" ht="45" x14ac:dyDescent="0.2">
      <c r="B10" s="29" t="s">
        <v>43</v>
      </c>
      <c r="C10" s="34" t="s">
        <v>44</v>
      </c>
      <c r="D10" s="34">
        <v>2210</v>
      </c>
      <c r="E10" s="32"/>
      <c r="F10" s="39"/>
      <c r="G10" s="32"/>
      <c r="H10" s="40"/>
      <c r="I10" s="41"/>
      <c r="J10" s="32"/>
      <c r="K10" s="32"/>
      <c r="L10" s="33"/>
      <c r="M10" s="32"/>
      <c r="N10" s="32"/>
      <c r="O10" s="32"/>
      <c r="P10" s="32"/>
      <c r="Q10" s="32"/>
      <c r="R10" s="32"/>
      <c r="S10" s="39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4" t="s">
        <v>45</v>
      </c>
      <c r="AH10" s="35">
        <v>3780</v>
      </c>
      <c r="AI10" s="32"/>
      <c r="AJ10" s="32"/>
      <c r="AK10" s="32"/>
      <c r="AL10" s="42"/>
    </row>
    <row r="11" spans="1:41" s="28" customFormat="1" ht="45" x14ac:dyDescent="0.2">
      <c r="B11" s="29" t="s">
        <v>46</v>
      </c>
      <c r="C11" s="34" t="s">
        <v>47</v>
      </c>
      <c r="D11" s="34">
        <v>2210</v>
      </c>
      <c r="E11" s="32"/>
      <c r="F11" s="39"/>
      <c r="G11" s="32"/>
      <c r="H11" s="40"/>
      <c r="I11" s="41"/>
      <c r="J11" s="32"/>
      <c r="K11" s="32"/>
      <c r="L11" s="33"/>
      <c r="M11" s="32"/>
      <c r="N11" s="32"/>
      <c r="O11" s="32"/>
      <c r="P11" s="32"/>
      <c r="Q11" s="32"/>
      <c r="R11" s="32"/>
      <c r="S11" s="39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4" t="s">
        <v>48</v>
      </c>
      <c r="AH11" s="35">
        <f>15.57+7.5</f>
        <v>23.07</v>
      </c>
      <c r="AI11" s="32"/>
      <c r="AJ11" s="32"/>
      <c r="AK11" s="32"/>
      <c r="AL11" s="42"/>
    </row>
    <row r="12" spans="1:41" s="28" customFormat="1" ht="45" x14ac:dyDescent="0.2">
      <c r="B12" s="29" t="s">
        <v>49</v>
      </c>
      <c r="C12" s="39" t="s">
        <v>50</v>
      </c>
      <c r="D12" s="34">
        <v>2210</v>
      </c>
      <c r="E12" s="32"/>
      <c r="F12" s="39"/>
      <c r="G12" s="32"/>
      <c r="H12" s="40"/>
      <c r="I12" s="41"/>
      <c r="J12" s="32"/>
      <c r="K12" s="32"/>
      <c r="L12" s="33"/>
      <c r="M12" s="32"/>
      <c r="N12" s="32"/>
      <c r="O12" s="32"/>
      <c r="P12" s="32"/>
      <c r="Q12" s="32"/>
      <c r="R12" s="32"/>
      <c r="S12" s="39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4" t="s">
        <v>51</v>
      </c>
      <c r="AH12" s="35">
        <v>493.15</v>
      </c>
      <c r="AI12" s="32"/>
      <c r="AJ12" s="32"/>
      <c r="AK12" s="32"/>
      <c r="AL12" s="37"/>
    </row>
    <row r="13" spans="1:41" s="28" customFormat="1" ht="90" x14ac:dyDescent="0.2">
      <c r="B13" s="29" t="s">
        <v>52</v>
      </c>
      <c r="C13" s="39" t="s">
        <v>53</v>
      </c>
      <c r="D13" s="34">
        <v>2210</v>
      </c>
      <c r="E13" s="32"/>
      <c r="F13" s="39"/>
      <c r="G13" s="32"/>
      <c r="H13" s="40"/>
      <c r="I13" s="41"/>
      <c r="J13" s="32"/>
      <c r="K13" s="32"/>
      <c r="L13" s="33"/>
      <c r="M13" s="32"/>
      <c r="N13" s="32"/>
      <c r="O13" s="32"/>
      <c r="P13" s="32"/>
      <c r="Q13" s="32"/>
      <c r="R13" s="32"/>
      <c r="S13" s="39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4" t="s">
        <v>54</v>
      </c>
      <c r="AH13" s="35">
        <v>178.35</v>
      </c>
      <c r="AI13" s="32"/>
      <c r="AJ13" s="32"/>
      <c r="AK13" s="32"/>
      <c r="AL13" s="37"/>
    </row>
    <row r="14" spans="1:41" s="28" customFormat="1" ht="45" x14ac:dyDescent="0.2">
      <c r="B14" s="29" t="s">
        <v>55</v>
      </c>
      <c r="C14" s="39" t="s">
        <v>56</v>
      </c>
      <c r="D14" s="34">
        <v>2210</v>
      </c>
      <c r="E14" s="32"/>
      <c r="F14" s="39"/>
      <c r="G14" s="32">
        <f t="shared" ref="G14:G34" si="0">E14+F14</f>
        <v>0</v>
      </c>
      <c r="H14" s="40"/>
      <c r="I14" s="41"/>
      <c r="J14" s="32"/>
      <c r="K14" s="32"/>
      <c r="L14" s="33"/>
      <c r="M14" s="32">
        <v>800</v>
      </c>
      <c r="N14" s="32">
        <v>388</v>
      </c>
      <c r="O14" s="32"/>
      <c r="P14" s="39" t="s">
        <v>57</v>
      </c>
      <c r="Q14" s="32">
        <v>99</v>
      </c>
      <c r="R14" s="32">
        <v>3400</v>
      </c>
      <c r="S14" s="32"/>
      <c r="T14" s="32"/>
      <c r="U14" s="32"/>
      <c r="V14" s="32"/>
      <c r="W14" s="32"/>
      <c r="X14" s="32"/>
      <c r="Y14" s="32">
        <v>3000</v>
      </c>
      <c r="Z14" s="32"/>
      <c r="AA14" s="32"/>
      <c r="AB14" s="32"/>
      <c r="AC14" s="32"/>
      <c r="AD14" s="32"/>
      <c r="AE14" s="32"/>
      <c r="AF14" s="32"/>
      <c r="AG14" s="34" t="s">
        <v>58</v>
      </c>
      <c r="AH14" s="35">
        <v>1329</v>
      </c>
      <c r="AI14" s="32"/>
      <c r="AJ14" s="32"/>
      <c r="AK14" s="32"/>
      <c r="AL14" s="42"/>
    </row>
    <row r="15" spans="1:41" s="28" customFormat="1" ht="30" hidden="1" x14ac:dyDescent="0.2">
      <c r="A15" s="28">
        <v>100</v>
      </c>
      <c r="B15" s="29" t="s">
        <v>59</v>
      </c>
      <c r="C15" s="39" t="s">
        <v>60</v>
      </c>
      <c r="D15" s="34">
        <v>2210</v>
      </c>
      <c r="E15" s="32"/>
      <c r="F15" s="39"/>
      <c r="G15" s="32"/>
      <c r="H15" s="40"/>
      <c r="I15" s="41"/>
      <c r="J15" s="32"/>
      <c r="K15" s="32"/>
      <c r="L15" s="33"/>
      <c r="M15" s="32"/>
      <c r="N15" s="32"/>
      <c r="O15" s="32"/>
      <c r="P15" s="39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>
        <v>20.75</v>
      </c>
      <c r="AB15" s="32"/>
      <c r="AC15" s="32"/>
      <c r="AD15" s="32"/>
      <c r="AE15" s="32"/>
      <c r="AF15" s="32"/>
      <c r="AG15" s="34"/>
      <c r="AH15" s="35"/>
      <c r="AI15" s="32"/>
      <c r="AJ15" s="32"/>
      <c r="AK15" s="32"/>
      <c r="AL15" s="42"/>
    </row>
    <row r="16" spans="1:41" s="28" customFormat="1" ht="169.5" customHeight="1" x14ac:dyDescent="0.2">
      <c r="B16" s="29" t="s">
        <v>61</v>
      </c>
      <c r="C16" s="32" t="s">
        <v>62</v>
      </c>
      <c r="D16" s="34">
        <v>2210</v>
      </c>
      <c r="E16" s="32">
        <v>2000</v>
      </c>
      <c r="F16" s="32">
        <v>16700</v>
      </c>
      <c r="G16" s="32">
        <f t="shared" si="0"/>
        <v>18700</v>
      </c>
      <c r="H16" s="33"/>
      <c r="I16" s="32"/>
      <c r="J16" s="32"/>
      <c r="K16" s="32"/>
      <c r="L16" s="33"/>
      <c r="M16" s="33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4" t="s">
        <v>63</v>
      </c>
      <c r="AH16" s="35">
        <v>10000</v>
      </c>
      <c r="AI16" s="32"/>
      <c r="AJ16" s="32"/>
      <c r="AK16" s="32"/>
      <c r="AL16" s="42"/>
    </row>
    <row r="17" spans="2:39" s="28" customFormat="1" ht="60" customHeight="1" x14ac:dyDescent="0.2">
      <c r="B17" s="29" t="s">
        <v>64</v>
      </c>
      <c r="C17" s="32" t="s">
        <v>65</v>
      </c>
      <c r="D17" s="34">
        <v>2210</v>
      </c>
      <c r="E17" s="32"/>
      <c r="F17" s="39"/>
      <c r="G17" s="32">
        <f t="shared" si="0"/>
        <v>0</v>
      </c>
      <c r="H17" s="40"/>
      <c r="I17" s="32"/>
      <c r="J17" s="32"/>
      <c r="K17" s="32">
        <v>1000</v>
      </c>
      <c r="L17" s="33"/>
      <c r="M17" s="33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4" t="s">
        <v>66</v>
      </c>
      <c r="AH17" s="35">
        <v>10000</v>
      </c>
      <c r="AI17" s="32"/>
      <c r="AJ17" s="32"/>
      <c r="AK17" s="32"/>
      <c r="AL17" s="42"/>
    </row>
    <row r="18" spans="2:39" s="28" customFormat="1" ht="72" customHeight="1" x14ac:dyDescent="0.2">
      <c r="B18" s="29" t="s">
        <v>67</v>
      </c>
      <c r="C18" s="32" t="s">
        <v>68</v>
      </c>
      <c r="D18" s="34">
        <v>2210</v>
      </c>
      <c r="E18" s="32">
        <v>5000</v>
      </c>
      <c r="F18" s="32">
        <v>54000</v>
      </c>
      <c r="G18" s="32">
        <f t="shared" si="0"/>
        <v>59000</v>
      </c>
      <c r="H18" s="33"/>
      <c r="I18" s="32"/>
      <c r="J18" s="32"/>
      <c r="K18" s="32"/>
      <c r="L18" s="33"/>
      <c r="M18" s="33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4" t="s">
        <v>69</v>
      </c>
      <c r="AH18" s="35">
        <f>35000+124+118</f>
        <v>35242</v>
      </c>
      <c r="AI18" s="32"/>
      <c r="AJ18" s="32"/>
      <c r="AK18" s="32"/>
      <c r="AL18" s="43" t="s">
        <v>70</v>
      </c>
    </row>
    <row r="19" spans="2:39" s="28" customFormat="1" ht="45" x14ac:dyDescent="0.2">
      <c r="B19" s="29" t="s">
        <v>71</v>
      </c>
      <c r="C19" s="32" t="s">
        <v>72</v>
      </c>
      <c r="D19" s="34">
        <v>2210</v>
      </c>
      <c r="E19" s="32"/>
      <c r="F19" s="32">
        <v>200</v>
      </c>
      <c r="G19" s="32">
        <f t="shared" si="0"/>
        <v>200</v>
      </c>
      <c r="H19" s="33"/>
      <c r="I19" s="32"/>
      <c r="J19" s="32"/>
      <c r="K19" s="32"/>
      <c r="L19" s="33"/>
      <c r="M19" s="33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4" t="s">
        <v>73</v>
      </c>
      <c r="AH19" s="35">
        <v>500</v>
      </c>
      <c r="AI19" s="32"/>
      <c r="AJ19" s="32"/>
      <c r="AK19" s="32"/>
      <c r="AL19" s="42"/>
    </row>
    <row r="20" spans="2:39" s="28" customFormat="1" ht="45" hidden="1" x14ac:dyDescent="0.2">
      <c r="B20" s="29" t="s">
        <v>74</v>
      </c>
      <c r="C20" s="32" t="s">
        <v>75</v>
      </c>
      <c r="D20" s="34">
        <v>2210</v>
      </c>
      <c r="E20" s="32"/>
      <c r="F20" s="39"/>
      <c r="G20" s="32">
        <f t="shared" si="0"/>
        <v>0</v>
      </c>
      <c r="H20" s="40"/>
      <c r="I20" s="41"/>
      <c r="J20" s="32"/>
      <c r="K20" s="32"/>
      <c r="L20" s="33"/>
      <c r="M20" s="32">
        <v>135</v>
      </c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4"/>
      <c r="AH20" s="35"/>
      <c r="AI20" s="32"/>
      <c r="AJ20" s="32"/>
      <c r="AK20" s="32"/>
      <c r="AL20" s="42"/>
    </row>
    <row r="21" spans="2:39" s="28" customFormat="1" ht="60" x14ac:dyDescent="0.2">
      <c r="B21" s="29" t="s">
        <v>76</v>
      </c>
      <c r="C21" s="32" t="s">
        <v>77</v>
      </c>
      <c r="D21" s="34">
        <v>2210</v>
      </c>
      <c r="E21" s="32"/>
      <c r="F21" s="32">
        <v>10000</v>
      </c>
      <c r="G21" s="32">
        <f t="shared" si="0"/>
        <v>10000</v>
      </c>
      <c r="H21" s="33"/>
      <c r="I21" s="32"/>
      <c r="J21" s="32"/>
      <c r="K21" s="32"/>
      <c r="L21" s="33"/>
      <c r="M21" s="33"/>
      <c r="N21" s="32"/>
      <c r="O21" s="32"/>
      <c r="P21" s="32"/>
      <c r="Q21" s="32"/>
      <c r="R21" s="32"/>
      <c r="S21" s="32">
        <v>2341</v>
      </c>
      <c r="T21" s="32">
        <v>13920</v>
      </c>
      <c r="U21" s="32"/>
      <c r="V21" s="32"/>
      <c r="W21" s="32"/>
      <c r="X21" s="32"/>
      <c r="Y21" s="32"/>
      <c r="Z21" s="32">
        <v>8800</v>
      </c>
      <c r="AA21" s="32"/>
      <c r="AB21" s="32"/>
      <c r="AC21" s="32"/>
      <c r="AD21" s="32"/>
      <c r="AE21" s="32"/>
      <c r="AF21" s="32"/>
      <c r="AG21" s="34" t="s">
        <v>78</v>
      </c>
      <c r="AH21" s="35">
        <f>10000+5000</f>
        <v>15000</v>
      </c>
      <c r="AI21" s="32"/>
      <c r="AJ21" s="32"/>
      <c r="AK21" s="32"/>
      <c r="AL21" s="37"/>
    </row>
    <row r="22" spans="2:39" s="28" customFormat="1" ht="30" x14ac:dyDescent="0.2">
      <c r="B22" s="29" t="s">
        <v>79</v>
      </c>
      <c r="C22" s="34" t="s">
        <v>80</v>
      </c>
      <c r="D22" s="34">
        <v>2210</v>
      </c>
      <c r="E22" s="32"/>
      <c r="F22" s="39"/>
      <c r="G22" s="32"/>
      <c r="H22" s="44"/>
      <c r="I22" s="41"/>
      <c r="J22" s="32"/>
      <c r="K22" s="32"/>
      <c r="L22" s="33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4" t="s">
        <v>81</v>
      </c>
      <c r="AH22" s="35">
        <v>6.66</v>
      </c>
      <c r="AI22" s="32"/>
      <c r="AJ22" s="32"/>
      <c r="AK22" s="32"/>
      <c r="AL22" s="42"/>
    </row>
    <row r="23" spans="2:39" s="28" customFormat="1" ht="60" x14ac:dyDescent="0.2">
      <c r="B23" s="29" t="s">
        <v>82</v>
      </c>
      <c r="C23" s="32" t="s">
        <v>83</v>
      </c>
      <c r="D23" s="34">
        <v>2210</v>
      </c>
      <c r="E23" s="32"/>
      <c r="F23" s="32"/>
      <c r="G23" s="32">
        <v>0</v>
      </c>
      <c r="H23" s="32"/>
      <c r="I23" s="32"/>
      <c r="J23" s="32">
        <f>1020*0.1</f>
        <v>102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4" t="s">
        <v>84</v>
      </c>
      <c r="AH23" s="35">
        <v>102</v>
      </c>
      <c r="AI23" s="32"/>
      <c r="AJ23" s="32"/>
      <c r="AK23" s="32"/>
      <c r="AL23" s="42"/>
    </row>
    <row r="24" spans="2:39" s="28" customFormat="1" ht="60" x14ac:dyDescent="0.2">
      <c r="B24" s="29" t="s">
        <v>85</v>
      </c>
      <c r="C24" s="32" t="s">
        <v>86</v>
      </c>
      <c r="D24" s="34">
        <v>2210</v>
      </c>
      <c r="E24" s="32"/>
      <c r="F24" s="32"/>
      <c r="G24" s="32"/>
      <c r="H24" s="32"/>
      <c r="I24" s="32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4" t="s">
        <v>87</v>
      </c>
      <c r="AH24" s="35">
        <v>1460</v>
      </c>
      <c r="AI24" s="32"/>
      <c r="AJ24" s="32"/>
      <c r="AK24" s="32"/>
      <c r="AL24" s="37"/>
    </row>
    <row r="25" spans="2:39" s="28" customFormat="1" ht="45" x14ac:dyDescent="0.2">
      <c r="B25" s="29" t="s">
        <v>88</v>
      </c>
      <c r="C25" s="32" t="s">
        <v>89</v>
      </c>
      <c r="D25" s="34">
        <v>2210</v>
      </c>
      <c r="E25" s="32"/>
      <c r="F25" s="32"/>
      <c r="G25" s="32"/>
      <c r="H25" s="32"/>
      <c r="I25" s="32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4" t="s">
        <v>90</v>
      </c>
      <c r="AH25" s="35">
        <v>170</v>
      </c>
      <c r="AI25" s="32"/>
      <c r="AJ25" s="32"/>
      <c r="AK25" s="32"/>
      <c r="AL25" s="37"/>
    </row>
    <row r="26" spans="2:39" s="28" customFormat="1" ht="60" x14ac:dyDescent="0.2">
      <c r="B26" s="29" t="s">
        <v>91</v>
      </c>
      <c r="C26" s="32" t="s">
        <v>92</v>
      </c>
      <c r="D26" s="34">
        <v>2210</v>
      </c>
      <c r="E26" s="32"/>
      <c r="F26" s="32"/>
      <c r="G26" s="32"/>
      <c r="H26" s="32"/>
      <c r="I26" s="32"/>
      <c r="J26" s="32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4" t="s">
        <v>93</v>
      </c>
      <c r="AH26" s="32">
        <f>450+96+705</f>
        <v>1251</v>
      </c>
      <c r="AI26" s="32"/>
      <c r="AJ26" s="32"/>
      <c r="AK26" s="32"/>
      <c r="AL26" s="42"/>
    </row>
    <row r="27" spans="2:39" s="28" customFormat="1" ht="30" hidden="1" x14ac:dyDescent="0.2">
      <c r="B27" s="29" t="s">
        <v>94</v>
      </c>
      <c r="C27" s="32" t="s">
        <v>95</v>
      </c>
      <c r="D27" s="34">
        <v>2210</v>
      </c>
      <c r="E27" s="39"/>
      <c r="F27" s="39"/>
      <c r="G27" s="32">
        <f t="shared" si="0"/>
        <v>0</v>
      </c>
      <c r="H27" s="40"/>
      <c r="I27" s="41"/>
      <c r="J27" s="32"/>
      <c r="K27" s="32"/>
      <c r="L27" s="33"/>
      <c r="M27" s="32">
        <f>396.5+1040</f>
        <v>1436.5</v>
      </c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4"/>
      <c r="AH27" s="35"/>
      <c r="AI27" s="32"/>
      <c r="AJ27" s="32"/>
      <c r="AK27" s="32"/>
      <c r="AL27" s="42"/>
    </row>
    <row r="28" spans="2:39" s="28" customFormat="1" ht="15" hidden="1" x14ac:dyDescent="0.2">
      <c r="B28" s="29" t="s">
        <v>96</v>
      </c>
      <c r="C28" s="32" t="s">
        <v>97</v>
      </c>
      <c r="D28" s="34">
        <v>2210</v>
      </c>
      <c r="E28" s="39"/>
      <c r="F28" s="39"/>
      <c r="G28" s="32">
        <f t="shared" si="0"/>
        <v>0</v>
      </c>
      <c r="H28" s="40"/>
      <c r="I28" s="41"/>
      <c r="J28" s="32"/>
      <c r="K28" s="32"/>
      <c r="L28" s="33"/>
      <c r="M28" s="32">
        <f>500+806.4</f>
        <v>1306.4000000000001</v>
      </c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4"/>
      <c r="AH28" s="35"/>
      <c r="AI28" s="32"/>
      <c r="AJ28" s="32"/>
      <c r="AK28" s="32"/>
      <c r="AL28" s="42"/>
    </row>
    <row r="29" spans="2:39" s="28" customFormat="1" ht="15" hidden="1" x14ac:dyDescent="0.2">
      <c r="B29" s="29" t="s">
        <v>98</v>
      </c>
      <c r="C29" s="32" t="s">
        <v>99</v>
      </c>
      <c r="D29" s="34">
        <v>2210</v>
      </c>
      <c r="E29" s="32"/>
      <c r="F29" s="32">
        <v>4000</v>
      </c>
      <c r="G29" s="32">
        <f t="shared" si="0"/>
        <v>4000</v>
      </c>
      <c r="H29" s="33"/>
      <c r="I29" s="32"/>
      <c r="J29" s="32"/>
      <c r="K29" s="32"/>
      <c r="L29" s="33"/>
      <c r="M29" s="33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  <c r="AF29" s="32"/>
      <c r="AG29" s="34"/>
      <c r="AH29" s="35"/>
      <c r="AI29" s="32"/>
      <c r="AJ29" s="32"/>
      <c r="AK29" s="32"/>
      <c r="AL29" s="42"/>
      <c r="AM29" s="38"/>
    </row>
    <row r="30" spans="2:39" s="28" customFormat="1" ht="45" hidden="1" x14ac:dyDescent="0.2">
      <c r="B30" s="29" t="s">
        <v>100</v>
      </c>
      <c r="C30" s="32" t="s">
        <v>101</v>
      </c>
      <c r="D30" s="34">
        <v>2210</v>
      </c>
      <c r="E30" s="32"/>
      <c r="F30" s="32">
        <v>1400</v>
      </c>
      <c r="G30" s="32">
        <f t="shared" si="0"/>
        <v>1400</v>
      </c>
      <c r="H30" s="33"/>
      <c r="I30" s="33"/>
      <c r="J30" s="33"/>
      <c r="K30" s="33"/>
      <c r="L30" s="33"/>
      <c r="M30" s="33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>
        <v>75.05</v>
      </c>
      <c r="AB30" s="32"/>
      <c r="AC30" s="32"/>
      <c r="AD30" s="32"/>
      <c r="AE30" s="32"/>
      <c r="AF30" s="32"/>
      <c r="AG30" s="34"/>
      <c r="AH30" s="35"/>
      <c r="AI30" s="32"/>
      <c r="AJ30" s="32"/>
      <c r="AK30" s="32"/>
      <c r="AL30" s="42"/>
      <c r="AM30" s="38"/>
    </row>
    <row r="31" spans="2:39" s="28" customFormat="1" ht="45" x14ac:dyDescent="0.2">
      <c r="B31" s="29" t="s">
        <v>94</v>
      </c>
      <c r="C31" s="32" t="s">
        <v>95</v>
      </c>
      <c r="D31" s="34">
        <v>2210</v>
      </c>
      <c r="E31" s="32"/>
      <c r="F31" s="32"/>
      <c r="G31" s="32"/>
      <c r="H31" s="33"/>
      <c r="I31" s="33"/>
      <c r="J31" s="33"/>
      <c r="K31" s="33"/>
      <c r="L31" s="33"/>
      <c r="M31" s="33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  <c r="AG31" s="34" t="s">
        <v>102</v>
      </c>
      <c r="AH31" s="35">
        <f>90+385.02</f>
        <v>475.02</v>
      </c>
      <c r="AI31" s="32"/>
      <c r="AJ31" s="32"/>
      <c r="AK31" s="32"/>
      <c r="AL31" s="42"/>
      <c r="AM31" s="38"/>
    </row>
    <row r="32" spans="2:39" s="28" customFormat="1" ht="30" x14ac:dyDescent="0.2">
      <c r="B32" s="29" t="s">
        <v>103</v>
      </c>
      <c r="C32" s="32" t="s">
        <v>104</v>
      </c>
      <c r="D32" s="34">
        <v>2210</v>
      </c>
      <c r="E32" s="32">
        <v>2000</v>
      </c>
      <c r="F32" s="32">
        <v>3000</v>
      </c>
      <c r="G32" s="32">
        <f t="shared" si="0"/>
        <v>5000</v>
      </c>
      <c r="H32" s="33"/>
      <c r="I32" s="32"/>
      <c r="J32" s="32"/>
      <c r="K32" s="32"/>
      <c r="L32" s="33"/>
      <c r="M32" s="33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>
        <v>293</v>
      </c>
      <c r="AB32" s="32"/>
      <c r="AC32" s="32"/>
      <c r="AD32" s="32"/>
      <c r="AE32" s="32"/>
      <c r="AF32" s="32"/>
      <c r="AG32" s="34" t="s">
        <v>105</v>
      </c>
      <c r="AH32" s="35">
        <v>2000</v>
      </c>
      <c r="AI32" s="32"/>
      <c r="AJ32" s="32"/>
      <c r="AK32" s="32"/>
      <c r="AL32" s="42"/>
      <c r="AM32" s="45"/>
    </row>
    <row r="33" spans="2:39" s="28" customFormat="1" ht="15" hidden="1" x14ac:dyDescent="0.2">
      <c r="B33" s="29" t="s">
        <v>106</v>
      </c>
      <c r="C33" s="32" t="s">
        <v>107</v>
      </c>
      <c r="D33" s="34">
        <v>2210</v>
      </c>
      <c r="E33" s="32"/>
      <c r="F33" s="32"/>
      <c r="G33" s="32"/>
      <c r="H33" s="33"/>
      <c r="I33" s="32"/>
      <c r="J33" s="32"/>
      <c r="K33" s="32"/>
      <c r="L33" s="33"/>
      <c r="M33" s="33"/>
      <c r="N33" s="32"/>
      <c r="O33" s="32"/>
      <c r="P33" s="32"/>
      <c r="Q33" s="32"/>
      <c r="R33" s="32"/>
      <c r="S33" s="32"/>
      <c r="T33" s="32">
        <v>46.8</v>
      </c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4"/>
      <c r="AH33" s="35"/>
      <c r="AI33" s="32"/>
      <c r="AJ33" s="32"/>
      <c r="AK33" s="32"/>
      <c r="AL33" s="42"/>
      <c r="AM33" s="45"/>
    </row>
    <row r="34" spans="2:39" s="28" customFormat="1" ht="45" x14ac:dyDescent="0.2">
      <c r="B34" s="29" t="s">
        <v>108</v>
      </c>
      <c r="C34" s="32" t="s">
        <v>109</v>
      </c>
      <c r="D34" s="34">
        <v>2210</v>
      </c>
      <c r="E34" s="32"/>
      <c r="F34" s="32">
        <v>500</v>
      </c>
      <c r="G34" s="32">
        <f t="shared" si="0"/>
        <v>500</v>
      </c>
      <c r="H34" s="33"/>
      <c r="I34" s="32"/>
      <c r="J34" s="32"/>
      <c r="K34" s="32"/>
      <c r="L34" s="33"/>
      <c r="M34" s="33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4" t="s">
        <v>73</v>
      </c>
      <c r="AH34" s="35">
        <v>500</v>
      </c>
      <c r="AI34" s="32"/>
      <c r="AJ34" s="32"/>
      <c r="AK34" s="32"/>
      <c r="AL34" s="42"/>
    </row>
    <row r="35" spans="2:39" s="28" customFormat="1" ht="30" hidden="1" x14ac:dyDescent="0.2">
      <c r="B35" s="29" t="s">
        <v>110</v>
      </c>
      <c r="C35" s="34" t="s">
        <v>111</v>
      </c>
      <c r="D35" s="34">
        <v>2210</v>
      </c>
      <c r="E35" s="32"/>
      <c r="F35" s="32"/>
      <c r="G35" s="32"/>
      <c r="H35" s="33"/>
      <c r="I35" s="32"/>
      <c r="J35" s="32"/>
      <c r="K35" s="32"/>
      <c r="L35" s="33"/>
      <c r="M35" s="33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5">
        <v>82</v>
      </c>
      <c r="AA35" s="32"/>
      <c r="AB35" s="32">
        <f>172</f>
        <v>172</v>
      </c>
      <c r="AC35" s="32"/>
      <c r="AD35" s="32"/>
      <c r="AE35" s="32"/>
      <c r="AF35" s="32"/>
      <c r="AG35" s="34"/>
      <c r="AH35" s="35"/>
      <c r="AI35" s="32"/>
      <c r="AJ35" s="32"/>
      <c r="AK35" s="32"/>
      <c r="AL35" s="42"/>
    </row>
    <row r="36" spans="2:39" s="28" customFormat="1" ht="66.75" customHeight="1" x14ac:dyDescent="0.2">
      <c r="B36" s="29" t="s">
        <v>112</v>
      </c>
      <c r="C36" s="32" t="s">
        <v>113</v>
      </c>
      <c r="D36" s="34">
        <v>2210</v>
      </c>
      <c r="E36" s="32"/>
      <c r="F36" s="39" t="s">
        <v>114</v>
      </c>
      <c r="G36" s="32">
        <v>830</v>
      </c>
      <c r="H36" s="40"/>
      <c r="I36" s="33"/>
      <c r="J36" s="33"/>
      <c r="K36" s="32">
        <v>880</v>
      </c>
      <c r="L36" s="33"/>
      <c r="M36" s="33"/>
      <c r="N36" s="32"/>
      <c r="O36" s="32"/>
      <c r="P36" s="32"/>
      <c r="Q36" s="32"/>
      <c r="R36" s="32"/>
      <c r="S36" s="32"/>
      <c r="T36" s="32"/>
      <c r="U36" s="32">
        <v>1169</v>
      </c>
      <c r="V36" s="32"/>
      <c r="W36" s="32">
        <v>4617</v>
      </c>
      <c r="X36" s="32"/>
      <c r="Y36" s="32"/>
      <c r="Z36" s="32"/>
      <c r="AA36" s="32"/>
      <c r="AB36" s="32"/>
      <c r="AC36" s="32"/>
      <c r="AD36" s="32"/>
      <c r="AE36" s="32"/>
      <c r="AF36" s="32"/>
      <c r="AG36" s="34" t="s">
        <v>115</v>
      </c>
      <c r="AH36" s="35">
        <f>8032.5+1570.08</f>
        <v>9602.58</v>
      </c>
      <c r="AI36" s="32"/>
      <c r="AJ36" s="32"/>
      <c r="AK36" s="32"/>
      <c r="AL36" s="43" t="s">
        <v>116</v>
      </c>
    </row>
    <row r="37" spans="2:39" s="28" customFormat="1" ht="75" customHeight="1" x14ac:dyDescent="0.2">
      <c r="B37" s="29" t="s">
        <v>117</v>
      </c>
      <c r="C37" s="32" t="s">
        <v>118</v>
      </c>
      <c r="D37" s="34">
        <v>2210</v>
      </c>
      <c r="E37" s="32"/>
      <c r="F37" s="39"/>
      <c r="G37" s="32"/>
      <c r="H37" s="40"/>
      <c r="I37" s="33"/>
      <c r="J37" s="33"/>
      <c r="K37" s="33"/>
      <c r="L37" s="33"/>
      <c r="M37" s="33"/>
      <c r="N37" s="32"/>
      <c r="O37" s="32">
        <v>131.04</v>
      </c>
      <c r="P37" s="32"/>
      <c r="Q37" s="32"/>
      <c r="R37" s="32"/>
      <c r="S37" s="46">
        <v>183.84</v>
      </c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4" t="s">
        <v>119</v>
      </c>
      <c r="AH37" s="35">
        <f>549.96+208.08+0.04</f>
        <v>758.08</v>
      </c>
      <c r="AI37" s="32"/>
      <c r="AJ37" s="32"/>
      <c r="AK37" s="32"/>
      <c r="AL37" s="42"/>
    </row>
    <row r="38" spans="2:39" s="28" customFormat="1" ht="30" hidden="1" x14ac:dyDescent="0.2">
      <c r="B38" s="29" t="s">
        <v>120</v>
      </c>
      <c r="C38" s="32" t="s">
        <v>121</v>
      </c>
      <c r="D38" s="34">
        <v>2210</v>
      </c>
      <c r="E38" s="32"/>
      <c r="F38" s="33"/>
      <c r="G38" s="33"/>
      <c r="H38" s="40"/>
      <c r="I38" s="41">
        <v>1517</v>
      </c>
      <c r="J38" s="32"/>
      <c r="K38" s="32"/>
      <c r="L38" s="33"/>
      <c r="M38" s="33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4"/>
      <c r="AH38" s="35"/>
      <c r="AI38" s="32"/>
      <c r="AJ38" s="32"/>
      <c r="AK38" s="32"/>
      <c r="AL38" s="42"/>
    </row>
    <row r="39" spans="2:39" s="28" customFormat="1" ht="15" hidden="1" x14ac:dyDescent="0.2">
      <c r="B39" s="29" t="s">
        <v>122</v>
      </c>
      <c r="C39" s="34" t="s">
        <v>123</v>
      </c>
      <c r="D39" s="34">
        <v>2210</v>
      </c>
      <c r="E39" s="32"/>
      <c r="F39" s="33"/>
      <c r="G39" s="33"/>
      <c r="H39" s="40"/>
      <c r="I39" s="41"/>
      <c r="J39" s="32"/>
      <c r="K39" s="32"/>
      <c r="L39" s="33"/>
      <c r="M39" s="33"/>
      <c r="N39" s="32"/>
      <c r="O39" s="32"/>
      <c r="P39" s="32"/>
      <c r="Q39" s="32"/>
      <c r="R39" s="32"/>
      <c r="S39" s="32"/>
      <c r="T39" s="32">
        <v>7960</v>
      </c>
      <c r="U39" s="39"/>
      <c r="V39" s="39"/>
      <c r="W39" s="39"/>
      <c r="X39" s="32"/>
      <c r="Y39" s="32"/>
      <c r="Z39" s="32"/>
      <c r="AA39" s="32"/>
      <c r="AB39" s="32"/>
      <c r="AC39" s="32"/>
      <c r="AD39" s="32"/>
      <c r="AE39" s="32"/>
      <c r="AF39" s="32"/>
      <c r="AG39" s="34"/>
      <c r="AH39" s="35"/>
      <c r="AI39" s="32"/>
      <c r="AJ39" s="32"/>
      <c r="AK39" s="32"/>
      <c r="AL39" s="42"/>
    </row>
    <row r="40" spans="2:39" s="28" customFormat="1" ht="60" hidden="1" x14ac:dyDescent="0.2">
      <c r="B40" s="29" t="s">
        <v>124</v>
      </c>
      <c r="C40" s="32" t="s">
        <v>125</v>
      </c>
      <c r="D40" s="34">
        <v>2210</v>
      </c>
      <c r="E40" s="32"/>
      <c r="F40" s="33"/>
      <c r="G40" s="33"/>
      <c r="H40" s="40"/>
      <c r="I40" s="41"/>
      <c r="J40" s="32"/>
      <c r="K40" s="32"/>
      <c r="L40" s="33"/>
      <c r="M40" s="33"/>
      <c r="N40" s="32"/>
      <c r="O40" s="32"/>
      <c r="P40" s="32"/>
      <c r="Q40" s="32"/>
      <c r="R40" s="32"/>
      <c r="S40" s="32"/>
      <c r="T40" s="32"/>
      <c r="U40" s="39"/>
      <c r="V40" s="39"/>
      <c r="W40" s="39"/>
      <c r="X40" s="32"/>
      <c r="Y40" s="32"/>
      <c r="Z40" s="32"/>
      <c r="AA40" s="32">
        <v>29.3</v>
      </c>
      <c r="AB40" s="32">
        <f>356+380</f>
        <v>736</v>
      </c>
      <c r="AC40" s="32"/>
      <c r="AD40" s="32"/>
      <c r="AE40" s="32"/>
      <c r="AF40" s="32"/>
      <c r="AG40" s="34"/>
      <c r="AH40" s="35"/>
      <c r="AI40" s="32"/>
      <c r="AJ40" s="32"/>
      <c r="AK40" s="32"/>
      <c r="AL40" s="42"/>
    </row>
    <row r="41" spans="2:39" s="28" customFormat="1" ht="15" hidden="1" x14ac:dyDescent="0.2">
      <c r="B41" s="29"/>
      <c r="C41" s="32"/>
      <c r="D41" s="34"/>
      <c r="E41" s="32"/>
      <c r="F41" s="33"/>
      <c r="G41" s="33"/>
      <c r="H41" s="40"/>
      <c r="I41" s="41"/>
      <c r="J41" s="32"/>
      <c r="K41" s="32"/>
      <c r="L41" s="33"/>
      <c r="M41" s="33"/>
      <c r="N41" s="32"/>
      <c r="O41" s="32"/>
      <c r="P41" s="32"/>
      <c r="Q41" s="32"/>
      <c r="R41" s="32"/>
      <c r="S41" s="32"/>
      <c r="T41" s="32"/>
      <c r="U41" s="39"/>
      <c r="V41" s="39"/>
      <c r="W41" s="39"/>
      <c r="X41" s="32"/>
      <c r="Y41" s="32"/>
      <c r="Z41" s="32"/>
      <c r="AA41" s="32"/>
      <c r="AB41" s="32"/>
      <c r="AC41" s="32"/>
      <c r="AD41" s="32"/>
      <c r="AE41" s="32"/>
      <c r="AF41" s="32"/>
      <c r="AG41" s="34"/>
      <c r="AH41" s="35"/>
      <c r="AI41" s="32"/>
      <c r="AJ41" s="32"/>
      <c r="AK41" s="32"/>
      <c r="AL41" s="42"/>
    </row>
    <row r="42" spans="2:39" s="28" customFormat="1" ht="60" x14ac:dyDescent="0.2">
      <c r="B42" s="29" t="s">
        <v>126</v>
      </c>
      <c r="C42" s="32" t="s">
        <v>127</v>
      </c>
      <c r="D42" s="34">
        <v>2210</v>
      </c>
      <c r="E42" s="32"/>
      <c r="F42" s="33"/>
      <c r="G42" s="33"/>
      <c r="H42" s="40"/>
      <c r="I42" s="41"/>
      <c r="J42" s="32"/>
      <c r="K42" s="32"/>
      <c r="L42" s="33"/>
      <c r="M42" s="33"/>
      <c r="N42" s="32"/>
      <c r="O42" s="32">
        <v>100</v>
      </c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5">
        <v>200</v>
      </c>
      <c r="AA42" s="32">
        <v>344.53</v>
      </c>
      <c r="AB42" s="32"/>
      <c r="AC42" s="32"/>
      <c r="AD42" s="32"/>
      <c r="AE42" s="32"/>
      <c r="AF42" s="32"/>
      <c r="AG42" s="34" t="s">
        <v>128</v>
      </c>
      <c r="AH42" s="35">
        <f>758+454.16</f>
        <v>1212.1600000000001</v>
      </c>
      <c r="AI42" s="32"/>
      <c r="AJ42" s="32"/>
      <c r="AK42" s="32"/>
      <c r="AL42" s="37"/>
    </row>
    <row r="43" spans="2:39" s="28" customFormat="1" ht="60" hidden="1" x14ac:dyDescent="0.2">
      <c r="B43" s="29" t="s">
        <v>129</v>
      </c>
      <c r="C43" s="34" t="s">
        <v>130</v>
      </c>
      <c r="D43" s="34">
        <v>2210</v>
      </c>
      <c r="E43" s="32"/>
      <c r="F43" s="33"/>
      <c r="G43" s="33"/>
      <c r="H43" s="40"/>
      <c r="I43" s="41"/>
      <c r="J43" s="32"/>
      <c r="K43" s="32"/>
      <c r="L43" s="33"/>
      <c r="M43" s="33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5"/>
      <c r="AA43" s="32"/>
      <c r="AB43" s="32"/>
      <c r="AC43" s="32">
        <v>300</v>
      </c>
      <c r="AD43" s="32"/>
      <c r="AE43" s="32"/>
      <c r="AF43" s="32"/>
      <c r="AG43" s="34" t="s">
        <v>128</v>
      </c>
      <c r="AH43" s="35"/>
      <c r="AI43" s="32"/>
      <c r="AJ43" s="32"/>
      <c r="AK43" s="32"/>
      <c r="AL43" s="37"/>
    </row>
    <row r="44" spans="2:39" s="28" customFormat="1" ht="60" hidden="1" x14ac:dyDescent="0.2">
      <c r="B44" s="29" t="s">
        <v>131</v>
      </c>
      <c r="C44" s="34" t="s">
        <v>132</v>
      </c>
      <c r="D44" s="34">
        <v>2210</v>
      </c>
      <c r="E44" s="32"/>
      <c r="F44" s="33"/>
      <c r="G44" s="33"/>
      <c r="H44" s="40"/>
      <c r="I44" s="41"/>
      <c r="J44" s="32"/>
      <c r="K44" s="32"/>
      <c r="L44" s="33"/>
      <c r="M44" s="33"/>
      <c r="N44" s="32"/>
      <c r="O44" s="32"/>
      <c r="P44" s="32"/>
      <c r="Q44" s="32"/>
      <c r="R44" s="32"/>
      <c r="S44" s="32"/>
      <c r="T44" s="32"/>
      <c r="U44" s="32">
        <v>1320.3</v>
      </c>
      <c r="V44" s="32"/>
      <c r="W44" s="32"/>
      <c r="X44" s="32"/>
      <c r="Y44" s="32">
        <v>1000</v>
      </c>
      <c r="Z44" s="32"/>
      <c r="AA44" s="32"/>
      <c r="AB44" s="32"/>
      <c r="AC44" s="32"/>
      <c r="AD44" s="32"/>
      <c r="AE44" s="32"/>
      <c r="AF44" s="32"/>
      <c r="AG44" s="34" t="s">
        <v>128</v>
      </c>
      <c r="AH44" s="35"/>
      <c r="AI44" s="32"/>
      <c r="AJ44" s="32"/>
      <c r="AK44" s="32"/>
      <c r="AL44" s="37"/>
    </row>
    <row r="45" spans="2:39" s="28" customFormat="1" ht="60" hidden="1" x14ac:dyDescent="0.2">
      <c r="B45" s="29" t="s">
        <v>133</v>
      </c>
      <c r="C45" s="34" t="s">
        <v>134</v>
      </c>
      <c r="D45" s="34">
        <v>2210</v>
      </c>
      <c r="E45" s="32"/>
      <c r="F45" s="39"/>
      <c r="G45" s="32"/>
      <c r="H45" s="40"/>
      <c r="I45" s="41"/>
      <c r="J45" s="32"/>
      <c r="K45" s="32"/>
      <c r="L45" s="41"/>
      <c r="M45" s="33"/>
      <c r="N45" s="32"/>
      <c r="O45" s="32"/>
      <c r="P45" s="32"/>
      <c r="Q45" s="32"/>
      <c r="R45" s="32"/>
      <c r="S45" s="39" t="s">
        <v>135</v>
      </c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  <c r="AG45" s="34" t="s">
        <v>128</v>
      </c>
      <c r="AH45" s="35"/>
      <c r="AI45" s="32"/>
      <c r="AJ45" s="32"/>
      <c r="AK45" s="32"/>
      <c r="AL45" s="37"/>
    </row>
    <row r="46" spans="2:39" s="28" customFormat="1" ht="60" hidden="1" x14ac:dyDescent="0.2">
      <c r="B46" s="29" t="s">
        <v>136</v>
      </c>
      <c r="C46" s="34" t="s">
        <v>137</v>
      </c>
      <c r="D46" s="34">
        <v>2210</v>
      </c>
      <c r="E46" s="32"/>
      <c r="F46" s="39"/>
      <c r="G46" s="32"/>
      <c r="H46" s="40"/>
      <c r="I46" s="41"/>
      <c r="J46" s="32"/>
      <c r="K46" s="32"/>
      <c r="L46" s="41"/>
      <c r="M46" s="33"/>
      <c r="N46" s="32"/>
      <c r="O46" s="32"/>
      <c r="P46" s="32"/>
      <c r="Q46" s="32"/>
      <c r="R46" s="32"/>
      <c r="S46" s="39"/>
      <c r="T46" s="32"/>
      <c r="U46" s="32">
        <v>197.6</v>
      </c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4" t="s">
        <v>128</v>
      </c>
      <c r="AH46" s="35"/>
      <c r="AI46" s="32"/>
      <c r="AJ46" s="32"/>
      <c r="AK46" s="32"/>
      <c r="AL46" s="37"/>
    </row>
    <row r="47" spans="2:39" s="28" customFormat="1" ht="45" x14ac:dyDescent="0.2">
      <c r="B47" s="29" t="s">
        <v>133</v>
      </c>
      <c r="C47" s="32" t="s">
        <v>138</v>
      </c>
      <c r="D47" s="34">
        <v>2210</v>
      </c>
      <c r="E47" s="32"/>
      <c r="F47" s="39"/>
      <c r="G47" s="32"/>
      <c r="H47" s="40"/>
      <c r="I47" s="41"/>
      <c r="J47" s="32"/>
      <c r="K47" s="32"/>
      <c r="L47" s="41"/>
      <c r="M47" s="33"/>
      <c r="N47" s="32"/>
      <c r="O47" s="32"/>
      <c r="P47" s="32"/>
      <c r="Q47" s="32"/>
      <c r="R47" s="32"/>
      <c r="S47" s="39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4" t="s">
        <v>139</v>
      </c>
      <c r="AH47" s="35">
        <v>96.9</v>
      </c>
      <c r="AI47" s="32"/>
      <c r="AJ47" s="32"/>
      <c r="AK47" s="32"/>
      <c r="AL47" s="37"/>
    </row>
    <row r="48" spans="2:39" s="28" customFormat="1" ht="111.75" customHeight="1" x14ac:dyDescent="0.2">
      <c r="B48" s="29" t="s">
        <v>140</v>
      </c>
      <c r="C48" s="32" t="s">
        <v>141</v>
      </c>
      <c r="D48" s="34">
        <v>2210</v>
      </c>
      <c r="E48" s="32"/>
      <c r="F48" s="39"/>
      <c r="G48" s="32"/>
      <c r="H48" s="40"/>
      <c r="I48" s="41"/>
      <c r="J48" s="32"/>
      <c r="K48" s="32"/>
      <c r="L48" s="41">
        <v>7500</v>
      </c>
      <c r="M48" s="33"/>
      <c r="N48" s="32"/>
      <c r="O48" s="32"/>
      <c r="P48" s="32"/>
      <c r="Q48" s="32"/>
      <c r="R48" s="32"/>
      <c r="S48" s="32">
        <v>28500</v>
      </c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4" t="s">
        <v>142</v>
      </c>
      <c r="AH48" s="35">
        <v>10</v>
      </c>
      <c r="AI48" s="32"/>
      <c r="AJ48" s="32"/>
      <c r="AK48" s="32"/>
      <c r="AL48" s="42"/>
    </row>
    <row r="49" spans="2:38" s="28" customFormat="1" ht="30" x14ac:dyDescent="0.2">
      <c r="B49" s="29" t="s">
        <v>143</v>
      </c>
      <c r="C49" s="32" t="s">
        <v>144</v>
      </c>
      <c r="D49" s="34">
        <v>2210</v>
      </c>
      <c r="E49" s="32"/>
      <c r="F49" s="39"/>
      <c r="G49" s="32"/>
      <c r="H49" s="40"/>
      <c r="I49" s="41"/>
      <c r="J49" s="32">
        <v>364</v>
      </c>
      <c r="K49" s="32"/>
      <c r="L49" s="33"/>
      <c r="M49" s="33"/>
      <c r="N49" s="32"/>
      <c r="O49" s="32">
        <v>116</v>
      </c>
      <c r="P49" s="32"/>
      <c r="Q49" s="32"/>
      <c r="R49" s="32"/>
      <c r="S49" s="32"/>
      <c r="T49" s="32"/>
      <c r="U49" s="32">
        <f>262.26+605</f>
        <v>867.26</v>
      </c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  <c r="AG49" s="34" t="s">
        <v>145</v>
      </c>
      <c r="AH49" s="35">
        <f>671+29</f>
        <v>700</v>
      </c>
      <c r="AI49" s="32"/>
      <c r="AJ49" s="32"/>
      <c r="AK49" s="32"/>
      <c r="AL49" s="37"/>
    </row>
    <row r="50" spans="2:38" s="28" customFormat="1" ht="15" hidden="1" x14ac:dyDescent="0.2">
      <c r="B50" s="29" t="s">
        <v>146</v>
      </c>
      <c r="C50" s="32" t="s">
        <v>147</v>
      </c>
      <c r="D50" s="34">
        <v>2210</v>
      </c>
      <c r="E50" s="32"/>
      <c r="F50" s="39"/>
      <c r="G50" s="32"/>
      <c r="H50" s="40"/>
      <c r="I50" s="41"/>
      <c r="J50" s="32">
        <v>636</v>
      </c>
      <c r="K50" s="32"/>
      <c r="L50" s="33"/>
      <c r="M50" s="33"/>
      <c r="N50" s="32"/>
      <c r="O50" s="32">
        <v>183.36</v>
      </c>
      <c r="P50" s="32"/>
      <c r="Q50" s="32"/>
      <c r="R50" s="32"/>
      <c r="S50" s="32"/>
      <c r="T50" s="32"/>
      <c r="U50" s="32"/>
      <c r="V50" s="32"/>
      <c r="W50" s="32">
        <v>1260</v>
      </c>
      <c r="X50" s="32"/>
      <c r="Y50" s="32"/>
      <c r="Z50" s="35">
        <v>420</v>
      </c>
      <c r="AA50" s="32"/>
      <c r="AB50" s="32"/>
      <c r="AC50" s="32"/>
      <c r="AD50" s="32"/>
      <c r="AE50" s="32"/>
      <c r="AF50" s="32"/>
      <c r="AG50" s="34"/>
      <c r="AH50" s="35"/>
      <c r="AI50" s="32"/>
      <c r="AJ50" s="32"/>
      <c r="AK50" s="32"/>
      <c r="AL50" s="42"/>
    </row>
    <row r="51" spans="2:38" s="28" customFormat="1" ht="15" hidden="1" x14ac:dyDescent="0.2">
      <c r="B51" s="29" t="s">
        <v>148</v>
      </c>
      <c r="C51" s="34" t="s">
        <v>149</v>
      </c>
      <c r="D51" s="34">
        <v>2210</v>
      </c>
      <c r="E51" s="32"/>
      <c r="F51" s="39"/>
      <c r="G51" s="32"/>
      <c r="H51" s="40"/>
      <c r="I51" s="41"/>
      <c r="J51" s="32"/>
      <c r="K51" s="32"/>
      <c r="L51" s="33"/>
      <c r="M51" s="33"/>
      <c r="N51" s="32"/>
      <c r="O51" s="32"/>
      <c r="P51" s="32"/>
      <c r="Q51" s="32"/>
      <c r="R51" s="32"/>
      <c r="S51" s="39" t="s">
        <v>150</v>
      </c>
      <c r="T51" s="32"/>
      <c r="U51" s="32"/>
      <c r="V51" s="32"/>
      <c r="W51" s="32"/>
      <c r="X51" s="32"/>
      <c r="Y51" s="32"/>
      <c r="Z51" s="32"/>
      <c r="AA51" s="32">
        <v>134</v>
      </c>
      <c r="AB51" s="32"/>
      <c r="AC51" s="32"/>
      <c r="AD51" s="32"/>
      <c r="AE51" s="32"/>
      <c r="AF51" s="32"/>
      <c r="AG51" s="34"/>
      <c r="AH51" s="35"/>
      <c r="AI51" s="32"/>
      <c r="AJ51" s="32"/>
      <c r="AK51" s="32"/>
      <c r="AL51" s="42"/>
    </row>
    <row r="52" spans="2:38" s="28" customFormat="1" ht="45" x14ac:dyDescent="0.2">
      <c r="B52" s="29" t="s">
        <v>146</v>
      </c>
      <c r="C52" s="34" t="s">
        <v>147</v>
      </c>
      <c r="D52" s="34">
        <v>2210</v>
      </c>
      <c r="E52" s="32"/>
      <c r="F52" s="39"/>
      <c r="G52" s="32"/>
      <c r="H52" s="40"/>
      <c r="I52" s="41"/>
      <c r="J52" s="32"/>
      <c r="K52" s="32"/>
      <c r="L52" s="33"/>
      <c r="M52" s="33"/>
      <c r="N52" s="32"/>
      <c r="O52" s="32"/>
      <c r="P52" s="32"/>
      <c r="Q52" s="32"/>
      <c r="R52" s="32"/>
      <c r="S52" s="39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  <c r="AG52" s="34" t="s">
        <v>151</v>
      </c>
      <c r="AH52" s="35">
        <v>84</v>
      </c>
      <c r="AI52" s="32"/>
      <c r="AJ52" s="32"/>
      <c r="AK52" s="32"/>
      <c r="AL52" s="42" t="s">
        <v>152</v>
      </c>
    </row>
    <row r="53" spans="2:38" s="28" customFormat="1" ht="60" x14ac:dyDescent="0.2">
      <c r="B53" s="29" t="s">
        <v>153</v>
      </c>
      <c r="C53" s="34" t="s">
        <v>154</v>
      </c>
      <c r="D53" s="34">
        <v>2210</v>
      </c>
      <c r="E53" s="32"/>
      <c r="F53" s="39"/>
      <c r="G53" s="32"/>
      <c r="H53" s="40"/>
      <c r="I53" s="41"/>
      <c r="J53" s="32"/>
      <c r="K53" s="32"/>
      <c r="L53" s="33"/>
      <c r="M53" s="33"/>
      <c r="N53" s="32"/>
      <c r="O53" s="32"/>
      <c r="P53" s="32"/>
      <c r="Q53" s="32"/>
      <c r="R53" s="32"/>
      <c r="S53" s="39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  <c r="AG53" s="34" t="s">
        <v>155</v>
      </c>
      <c r="AH53" s="35">
        <v>1565</v>
      </c>
      <c r="AI53" s="32"/>
      <c r="AJ53" s="32"/>
      <c r="AK53" s="32"/>
      <c r="AL53" s="42"/>
    </row>
    <row r="54" spans="2:38" s="28" customFormat="1" ht="60" hidden="1" x14ac:dyDescent="0.2">
      <c r="B54" s="29" t="s">
        <v>156</v>
      </c>
      <c r="C54" s="34" t="s">
        <v>157</v>
      </c>
      <c r="D54" s="34">
        <v>2210</v>
      </c>
      <c r="E54" s="32"/>
      <c r="F54" s="39"/>
      <c r="G54" s="32"/>
      <c r="H54" s="40"/>
      <c r="I54" s="41"/>
      <c r="J54" s="32"/>
      <c r="K54" s="32"/>
      <c r="L54" s="33"/>
      <c r="M54" s="33"/>
      <c r="N54" s="32"/>
      <c r="O54" s="32"/>
      <c r="P54" s="32"/>
      <c r="Q54" s="32"/>
      <c r="R54" s="32"/>
      <c r="S54" s="39" t="s">
        <v>158</v>
      </c>
      <c r="T54" s="32"/>
      <c r="U54" s="32"/>
      <c r="V54" s="32"/>
      <c r="W54" s="32"/>
      <c r="X54" s="32"/>
      <c r="Y54" s="32"/>
      <c r="Z54" s="32"/>
      <c r="AA54" s="32">
        <v>108.5</v>
      </c>
      <c r="AB54" s="32"/>
      <c r="AC54" s="32"/>
      <c r="AD54" s="32"/>
      <c r="AE54" s="32"/>
      <c r="AF54" s="32"/>
      <c r="AG54" s="34" t="s">
        <v>155</v>
      </c>
      <c r="AH54" s="35"/>
      <c r="AI54" s="32"/>
      <c r="AJ54" s="32"/>
      <c r="AK54" s="32"/>
      <c r="AL54" s="42"/>
    </row>
    <row r="55" spans="2:38" s="28" customFormat="1" ht="60" hidden="1" x14ac:dyDescent="0.2">
      <c r="B55" s="29" t="s">
        <v>159</v>
      </c>
      <c r="C55" s="34" t="s">
        <v>160</v>
      </c>
      <c r="D55" s="34">
        <v>2210</v>
      </c>
      <c r="E55" s="32"/>
      <c r="F55" s="39"/>
      <c r="G55" s="32"/>
      <c r="H55" s="40"/>
      <c r="I55" s="41"/>
      <c r="J55" s="32"/>
      <c r="K55" s="32"/>
      <c r="L55" s="33"/>
      <c r="M55" s="33"/>
      <c r="N55" s="32"/>
      <c r="O55" s="32"/>
      <c r="P55" s="32"/>
      <c r="Q55" s="32"/>
      <c r="R55" s="32"/>
      <c r="S55" s="39"/>
      <c r="T55" s="32"/>
      <c r="U55" s="32">
        <v>56</v>
      </c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  <c r="AG55" s="34" t="s">
        <v>155</v>
      </c>
      <c r="AH55" s="35"/>
      <c r="AI55" s="32"/>
      <c r="AJ55" s="32"/>
      <c r="AK55" s="32"/>
      <c r="AL55" s="42"/>
    </row>
    <row r="56" spans="2:38" s="28" customFormat="1" ht="60" hidden="1" x14ac:dyDescent="0.2">
      <c r="B56" s="29" t="s">
        <v>161</v>
      </c>
      <c r="C56" s="34" t="s">
        <v>162</v>
      </c>
      <c r="D56" s="34">
        <v>2210</v>
      </c>
      <c r="E56" s="39"/>
      <c r="F56" s="39"/>
      <c r="G56" s="32"/>
      <c r="H56" s="40"/>
      <c r="I56" s="41"/>
      <c r="J56" s="32"/>
      <c r="K56" s="32"/>
      <c r="L56" s="32"/>
      <c r="M56" s="33"/>
      <c r="N56" s="32"/>
      <c r="O56" s="32"/>
      <c r="P56" s="32"/>
      <c r="Q56" s="32"/>
      <c r="R56" s="32"/>
      <c r="S56" s="39" t="s">
        <v>163</v>
      </c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4" t="s">
        <v>155</v>
      </c>
      <c r="AH56" s="35"/>
      <c r="AI56" s="32"/>
      <c r="AJ56" s="32"/>
      <c r="AK56" s="32"/>
      <c r="AL56" s="42"/>
    </row>
    <row r="57" spans="2:38" s="28" customFormat="1" ht="60" hidden="1" x14ac:dyDescent="0.2">
      <c r="B57" s="29" t="s">
        <v>164</v>
      </c>
      <c r="C57" s="32" t="s">
        <v>165</v>
      </c>
      <c r="D57" s="34">
        <v>2210</v>
      </c>
      <c r="E57" s="39"/>
      <c r="F57" s="39"/>
      <c r="G57" s="32"/>
      <c r="H57" s="40"/>
      <c r="I57" s="41"/>
      <c r="J57" s="32"/>
      <c r="K57" s="32"/>
      <c r="L57" s="32"/>
      <c r="M57" s="33"/>
      <c r="N57" s="32"/>
      <c r="O57" s="32"/>
      <c r="P57" s="32"/>
      <c r="Q57" s="32"/>
      <c r="R57" s="32"/>
      <c r="S57" s="39"/>
      <c r="T57" s="32"/>
      <c r="U57" s="32">
        <v>39.14</v>
      </c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4" t="s">
        <v>155</v>
      </c>
      <c r="AH57" s="35"/>
      <c r="AI57" s="32"/>
      <c r="AJ57" s="32"/>
      <c r="AK57" s="32"/>
      <c r="AL57" s="42"/>
    </row>
    <row r="58" spans="2:38" s="28" customFormat="1" ht="30" x14ac:dyDescent="0.2">
      <c r="B58" s="29" t="s">
        <v>156</v>
      </c>
      <c r="C58" s="32" t="s">
        <v>166</v>
      </c>
      <c r="D58" s="34">
        <v>2210</v>
      </c>
      <c r="E58" s="39"/>
      <c r="F58" s="39"/>
      <c r="G58" s="32"/>
      <c r="H58" s="40"/>
      <c r="I58" s="41"/>
      <c r="J58" s="32"/>
      <c r="K58" s="32"/>
      <c r="L58" s="32"/>
      <c r="M58" s="33"/>
      <c r="N58" s="32"/>
      <c r="O58" s="32"/>
      <c r="P58" s="32"/>
      <c r="Q58" s="32"/>
      <c r="R58" s="32"/>
      <c r="S58" s="39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4" t="s">
        <v>167</v>
      </c>
      <c r="AH58" s="35">
        <v>141</v>
      </c>
      <c r="AI58" s="32"/>
      <c r="AJ58" s="32"/>
      <c r="AK58" s="32"/>
      <c r="AL58" s="37"/>
    </row>
    <row r="59" spans="2:38" s="28" customFormat="1" ht="45" x14ac:dyDescent="0.2">
      <c r="B59" s="29" t="s">
        <v>168</v>
      </c>
      <c r="C59" s="32" t="s">
        <v>169</v>
      </c>
      <c r="D59" s="34">
        <v>2210</v>
      </c>
      <c r="E59" s="39"/>
      <c r="F59" s="39"/>
      <c r="G59" s="32"/>
      <c r="H59" s="40"/>
      <c r="I59" s="41"/>
      <c r="J59" s="32"/>
      <c r="K59" s="32"/>
      <c r="L59" s="32"/>
      <c r="M59" s="33"/>
      <c r="N59" s="32"/>
      <c r="O59" s="32"/>
      <c r="P59" s="32"/>
      <c r="Q59" s="32"/>
      <c r="R59" s="32"/>
      <c r="S59" s="39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  <c r="AG59" s="34" t="s">
        <v>170</v>
      </c>
      <c r="AH59" s="35">
        <v>467.7</v>
      </c>
      <c r="AI59" s="32"/>
      <c r="AJ59" s="32"/>
      <c r="AK59" s="32"/>
      <c r="AL59" s="37"/>
    </row>
    <row r="60" spans="2:38" s="28" customFormat="1" ht="30" x14ac:dyDescent="0.2">
      <c r="B60" s="29" t="s">
        <v>171</v>
      </c>
      <c r="C60" s="32" t="s">
        <v>172</v>
      </c>
      <c r="D60" s="34">
        <v>2210</v>
      </c>
      <c r="E60" s="39"/>
      <c r="F60" s="39"/>
      <c r="G60" s="32"/>
      <c r="H60" s="40"/>
      <c r="I60" s="41"/>
      <c r="J60" s="32"/>
      <c r="K60" s="32"/>
      <c r="L60" s="32"/>
      <c r="M60" s="33"/>
      <c r="N60" s="32"/>
      <c r="O60" s="32"/>
      <c r="P60" s="32"/>
      <c r="Q60" s="32"/>
      <c r="R60" s="32"/>
      <c r="S60" s="39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4" t="s">
        <v>173</v>
      </c>
      <c r="AH60" s="35">
        <v>67.88</v>
      </c>
      <c r="AI60" s="32"/>
      <c r="AJ60" s="32"/>
      <c r="AK60" s="32"/>
      <c r="AL60" s="37"/>
    </row>
    <row r="61" spans="2:38" s="28" customFormat="1" ht="45" x14ac:dyDescent="0.2">
      <c r="B61" s="29" t="s">
        <v>174</v>
      </c>
      <c r="C61" s="32" t="s">
        <v>175</v>
      </c>
      <c r="D61" s="34">
        <v>2210</v>
      </c>
      <c r="E61" s="39"/>
      <c r="F61" s="39"/>
      <c r="G61" s="32"/>
      <c r="H61" s="40"/>
      <c r="I61" s="41"/>
      <c r="J61" s="32"/>
      <c r="K61" s="32"/>
      <c r="L61" s="32"/>
      <c r="M61" s="33"/>
      <c r="N61" s="32"/>
      <c r="O61" s="32"/>
      <c r="P61" s="32"/>
      <c r="Q61" s="32"/>
      <c r="R61" s="32"/>
      <c r="S61" s="39" t="s">
        <v>176</v>
      </c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  <c r="AG61" s="34" t="s">
        <v>177</v>
      </c>
      <c r="AH61" s="35">
        <v>1000</v>
      </c>
      <c r="AI61" s="32"/>
      <c r="AJ61" s="32"/>
      <c r="AK61" s="32"/>
      <c r="AL61" s="37"/>
    </row>
    <row r="62" spans="2:38" s="28" customFormat="1" ht="45" hidden="1" x14ac:dyDescent="0.2">
      <c r="B62" s="29" t="s">
        <v>178</v>
      </c>
      <c r="C62" s="32" t="s">
        <v>179</v>
      </c>
      <c r="D62" s="34">
        <v>2210</v>
      </c>
      <c r="E62" s="39"/>
      <c r="F62" s="39"/>
      <c r="G62" s="32"/>
      <c r="H62" s="40"/>
      <c r="I62" s="41"/>
      <c r="J62" s="32"/>
      <c r="K62" s="32"/>
      <c r="L62" s="32"/>
      <c r="M62" s="33"/>
      <c r="N62" s="32"/>
      <c r="O62" s="32"/>
      <c r="P62" s="32"/>
      <c r="Q62" s="32"/>
      <c r="R62" s="32"/>
      <c r="S62" s="39" t="s">
        <v>180</v>
      </c>
      <c r="T62" s="32"/>
      <c r="U62" s="32"/>
      <c r="V62" s="32"/>
      <c r="W62" s="32"/>
      <c r="X62" s="32"/>
      <c r="Y62" s="32"/>
      <c r="Z62" s="32"/>
      <c r="AA62" s="32">
        <v>95</v>
      </c>
      <c r="AB62" s="32"/>
      <c r="AC62" s="32"/>
      <c r="AD62" s="32"/>
      <c r="AE62" s="32"/>
      <c r="AF62" s="32"/>
      <c r="AG62" s="34" t="s">
        <v>177</v>
      </c>
      <c r="AH62" s="35"/>
      <c r="AI62" s="32"/>
      <c r="AJ62" s="32"/>
      <c r="AK62" s="32"/>
      <c r="AL62" s="42"/>
    </row>
    <row r="63" spans="2:38" s="28" customFormat="1" ht="45" hidden="1" x14ac:dyDescent="0.2">
      <c r="B63" s="29" t="s">
        <v>181</v>
      </c>
      <c r="C63" s="32" t="s">
        <v>182</v>
      </c>
      <c r="D63" s="34">
        <v>2210</v>
      </c>
      <c r="E63" s="39"/>
      <c r="F63" s="39"/>
      <c r="G63" s="32"/>
      <c r="H63" s="40"/>
      <c r="I63" s="41"/>
      <c r="J63" s="32"/>
      <c r="K63" s="32"/>
      <c r="L63" s="32"/>
      <c r="M63" s="33"/>
      <c r="N63" s="32"/>
      <c r="O63" s="32"/>
      <c r="P63" s="32"/>
      <c r="Q63" s="32"/>
      <c r="R63" s="32"/>
      <c r="S63" s="39" t="s">
        <v>183</v>
      </c>
      <c r="T63" s="32"/>
      <c r="U63" s="32"/>
      <c r="V63" s="32"/>
      <c r="W63" s="32"/>
      <c r="X63" s="32"/>
      <c r="Y63" s="32"/>
      <c r="Z63" s="32"/>
      <c r="AA63" s="32">
        <v>48.18</v>
      </c>
      <c r="AB63" s="32"/>
      <c r="AC63" s="32"/>
      <c r="AD63" s="32"/>
      <c r="AE63" s="32"/>
      <c r="AF63" s="32"/>
      <c r="AG63" s="34" t="s">
        <v>177</v>
      </c>
      <c r="AH63" s="35"/>
      <c r="AI63" s="32"/>
      <c r="AJ63" s="32"/>
      <c r="AK63" s="32"/>
      <c r="AL63" s="42"/>
    </row>
    <row r="64" spans="2:38" s="28" customFormat="1" ht="45" hidden="1" x14ac:dyDescent="0.2">
      <c r="B64" s="29" t="s">
        <v>184</v>
      </c>
      <c r="C64" s="32" t="s">
        <v>185</v>
      </c>
      <c r="D64" s="34">
        <v>2210</v>
      </c>
      <c r="E64" s="39"/>
      <c r="F64" s="39"/>
      <c r="G64" s="32"/>
      <c r="H64" s="40"/>
      <c r="I64" s="41"/>
      <c r="J64" s="32"/>
      <c r="K64" s="32"/>
      <c r="L64" s="32"/>
      <c r="M64" s="33"/>
      <c r="N64" s="32"/>
      <c r="O64" s="32"/>
      <c r="P64" s="32"/>
      <c r="Q64" s="32"/>
      <c r="R64" s="32"/>
      <c r="S64" s="39" t="s">
        <v>186</v>
      </c>
      <c r="T64" s="32"/>
      <c r="U64" s="32">
        <v>71.83</v>
      </c>
      <c r="V64" s="32"/>
      <c r="W64" s="32"/>
      <c r="X64" s="32"/>
      <c r="Y64" s="32"/>
      <c r="Z64" s="32"/>
      <c r="AA64" s="32">
        <v>114.15</v>
      </c>
      <c r="AB64" s="32"/>
      <c r="AC64" s="32"/>
      <c r="AD64" s="32"/>
      <c r="AE64" s="32"/>
      <c r="AF64" s="32"/>
      <c r="AG64" s="34" t="s">
        <v>177</v>
      </c>
      <c r="AH64" s="35"/>
      <c r="AI64" s="32"/>
      <c r="AJ64" s="32"/>
      <c r="AK64" s="32"/>
      <c r="AL64" s="42"/>
    </row>
    <row r="65" spans="2:38" s="28" customFormat="1" ht="45" hidden="1" x14ac:dyDescent="0.2">
      <c r="B65" s="29" t="s">
        <v>187</v>
      </c>
      <c r="C65" s="32" t="s">
        <v>188</v>
      </c>
      <c r="D65" s="34">
        <v>2210</v>
      </c>
      <c r="E65" s="39"/>
      <c r="F65" s="39"/>
      <c r="G65" s="32"/>
      <c r="H65" s="40"/>
      <c r="I65" s="41"/>
      <c r="J65" s="32"/>
      <c r="K65" s="32"/>
      <c r="L65" s="32"/>
      <c r="M65" s="33"/>
      <c r="N65" s="32"/>
      <c r="O65" s="32"/>
      <c r="P65" s="32"/>
      <c r="Q65" s="32"/>
      <c r="R65" s="32"/>
      <c r="S65" s="39"/>
      <c r="T65" s="32"/>
      <c r="U65" s="32">
        <v>528.6</v>
      </c>
      <c r="V65" s="32"/>
      <c r="W65" s="32"/>
      <c r="X65" s="32"/>
      <c r="Y65" s="32"/>
      <c r="Z65" s="32"/>
      <c r="AA65" s="32">
        <v>29.24</v>
      </c>
      <c r="AB65" s="32"/>
      <c r="AC65" s="32"/>
      <c r="AD65" s="32"/>
      <c r="AE65" s="32"/>
      <c r="AF65" s="32"/>
      <c r="AG65" s="34" t="s">
        <v>177</v>
      </c>
      <c r="AH65" s="35"/>
      <c r="AI65" s="32"/>
      <c r="AJ65" s="32"/>
      <c r="AK65" s="32"/>
      <c r="AL65" s="42"/>
    </row>
    <row r="66" spans="2:38" s="28" customFormat="1" ht="45" hidden="1" x14ac:dyDescent="0.2">
      <c r="B66" s="29" t="s">
        <v>189</v>
      </c>
      <c r="C66" s="32" t="s">
        <v>190</v>
      </c>
      <c r="D66" s="34">
        <v>2210</v>
      </c>
      <c r="E66" s="39"/>
      <c r="F66" s="39"/>
      <c r="G66" s="32"/>
      <c r="H66" s="40"/>
      <c r="I66" s="41"/>
      <c r="J66" s="32"/>
      <c r="K66" s="32"/>
      <c r="L66" s="32"/>
      <c r="M66" s="33"/>
      <c r="N66" s="32"/>
      <c r="O66" s="32"/>
      <c r="P66" s="32"/>
      <c r="Q66" s="32"/>
      <c r="R66" s="32"/>
      <c r="S66" s="39" t="s">
        <v>191</v>
      </c>
      <c r="T66" s="32"/>
      <c r="U66" s="32"/>
      <c r="V66" s="32"/>
      <c r="W66" s="32"/>
      <c r="X66" s="32"/>
      <c r="Y66" s="32"/>
      <c r="Z66" s="32"/>
      <c r="AA66" s="32">
        <f>145.24+26</f>
        <v>171.24</v>
      </c>
      <c r="AB66" s="32"/>
      <c r="AC66" s="32"/>
      <c r="AD66" s="32"/>
      <c r="AE66" s="32"/>
      <c r="AF66" s="32"/>
      <c r="AG66" s="34" t="s">
        <v>177</v>
      </c>
      <c r="AH66" s="35"/>
      <c r="AI66" s="32"/>
      <c r="AJ66" s="32"/>
      <c r="AK66" s="32"/>
      <c r="AL66" s="42"/>
    </row>
    <row r="67" spans="2:38" s="28" customFormat="1" ht="45" hidden="1" x14ac:dyDescent="0.2">
      <c r="B67" s="29" t="s">
        <v>192</v>
      </c>
      <c r="C67" s="32" t="s">
        <v>193</v>
      </c>
      <c r="D67" s="34">
        <v>2210</v>
      </c>
      <c r="E67" s="39"/>
      <c r="F67" s="39"/>
      <c r="G67" s="32"/>
      <c r="H67" s="40"/>
      <c r="I67" s="41"/>
      <c r="J67" s="32"/>
      <c r="K67" s="32"/>
      <c r="L67" s="32"/>
      <c r="M67" s="33"/>
      <c r="N67" s="32"/>
      <c r="O67" s="32"/>
      <c r="P67" s="32"/>
      <c r="Q67" s="32"/>
      <c r="R67" s="32"/>
      <c r="S67" s="39" t="s">
        <v>194</v>
      </c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4" t="s">
        <v>177</v>
      </c>
      <c r="AH67" s="35"/>
      <c r="AI67" s="32"/>
      <c r="AJ67" s="32"/>
      <c r="AK67" s="32"/>
      <c r="AL67" s="42"/>
    </row>
    <row r="68" spans="2:38" s="28" customFormat="1" ht="45" hidden="1" x14ac:dyDescent="0.2">
      <c r="B68" s="29" t="s">
        <v>181</v>
      </c>
      <c r="C68" s="32" t="s">
        <v>195</v>
      </c>
      <c r="D68" s="34">
        <v>2210</v>
      </c>
      <c r="E68" s="39"/>
      <c r="F68" s="39"/>
      <c r="G68" s="32"/>
      <c r="H68" s="40"/>
      <c r="I68" s="41"/>
      <c r="J68" s="32"/>
      <c r="K68" s="32"/>
      <c r="L68" s="32"/>
      <c r="M68" s="33"/>
      <c r="N68" s="32"/>
      <c r="O68" s="32"/>
      <c r="P68" s="32"/>
      <c r="Q68" s="32"/>
      <c r="R68" s="32"/>
      <c r="S68" s="39" t="s">
        <v>196</v>
      </c>
      <c r="T68" s="46">
        <v>51.84</v>
      </c>
      <c r="U68" s="32"/>
      <c r="V68" s="32"/>
      <c r="W68" s="32"/>
      <c r="X68" s="32"/>
      <c r="Y68" s="32"/>
      <c r="Z68" s="32"/>
      <c r="AA68" s="32">
        <v>20.5</v>
      </c>
      <c r="AB68" s="32"/>
      <c r="AC68" s="32"/>
      <c r="AD68" s="32"/>
      <c r="AE68" s="32"/>
      <c r="AF68" s="32"/>
      <c r="AG68" s="34" t="s">
        <v>177</v>
      </c>
      <c r="AH68" s="35"/>
      <c r="AI68" s="32"/>
      <c r="AJ68" s="32"/>
      <c r="AK68" s="32"/>
      <c r="AL68" s="42"/>
    </row>
    <row r="69" spans="2:38" s="28" customFormat="1" ht="45" hidden="1" x14ac:dyDescent="0.2">
      <c r="B69" s="29" t="s">
        <v>197</v>
      </c>
      <c r="C69" s="32" t="s">
        <v>198</v>
      </c>
      <c r="D69" s="34">
        <v>2210</v>
      </c>
      <c r="E69" s="39"/>
      <c r="F69" s="39"/>
      <c r="G69" s="32"/>
      <c r="H69" s="40"/>
      <c r="I69" s="41"/>
      <c r="J69" s="32"/>
      <c r="K69" s="32"/>
      <c r="L69" s="32"/>
      <c r="M69" s="33"/>
      <c r="N69" s="32"/>
      <c r="O69" s="32"/>
      <c r="P69" s="32"/>
      <c r="Q69" s="32"/>
      <c r="R69" s="32"/>
      <c r="S69" s="39"/>
      <c r="T69" s="46">
        <v>510.68</v>
      </c>
      <c r="U69" s="32"/>
      <c r="V69" s="32"/>
      <c r="W69" s="32"/>
      <c r="X69" s="32"/>
      <c r="Y69" s="32"/>
      <c r="Z69" s="32"/>
      <c r="AA69" s="32"/>
      <c r="AB69" s="32"/>
      <c r="AC69" s="32"/>
      <c r="AD69" s="32"/>
      <c r="AE69" s="32"/>
      <c r="AF69" s="32"/>
      <c r="AG69" s="34" t="s">
        <v>177</v>
      </c>
      <c r="AH69" s="35"/>
      <c r="AI69" s="32"/>
      <c r="AJ69" s="32"/>
      <c r="AK69" s="32"/>
      <c r="AL69" s="42"/>
    </row>
    <row r="70" spans="2:38" s="28" customFormat="1" ht="45" x14ac:dyDescent="0.2">
      <c r="B70" s="29" t="s">
        <v>178</v>
      </c>
      <c r="C70" s="32" t="s">
        <v>179</v>
      </c>
      <c r="D70" s="34">
        <v>2210</v>
      </c>
      <c r="E70" s="39"/>
      <c r="F70" s="39"/>
      <c r="G70" s="32"/>
      <c r="H70" s="40"/>
      <c r="I70" s="41"/>
      <c r="J70" s="32"/>
      <c r="K70" s="32"/>
      <c r="L70" s="32"/>
      <c r="M70" s="33"/>
      <c r="N70" s="32"/>
      <c r="O70" s="32"/>
      <c r="P70" s="32"/>
      <c r="Q70" s="32"/>
      <c r="R70" s="32"/>
      <c r="S70" s="39"/>
      <c r="T70" s="46"/>
      <c r="U70" s="32"/>
      <c r="V70" s="32"/>
      <c r="W70" s="32"/>
      <c r="X70" s="32"/>
      <c r="Y70" s="32"/>
      <c r="Z70" s="32"/>
      <c r="AA70" s="32"/>
      <c r="AB70" s="32"/>
      <c r="AC70" s="32"/>
      <c r="AD70" s="32"/>
      <c r="AE70" s="32"/>
      <c r="AF70" s="32"/>
      <c r="AG70" s="34" t="s">
        <v>199</v>
      </c>
      <c r="AH70" s="35">
        <v>500</v>
      </c>
      <c r="AI70" s="32"/>
      <c r="AJ70" s="32"/>
      <c r="AK70" s="32"/>
      <c r="AL70" s="37"/>
    </row>
    <row r="71" spans="2:38" s="28" customFormat="1" ht="30" x14ac:dyDescent="0.2">
      <c r="B71" s="29" t="s">
        <v>200</v>
      </c>
      <c r="C71" s="32" t="s">
        <v>185</v>
      </c>
      <c r="D71" s="34">
        <v>2210</v>
      </c>
      <c r="E71" s="39"/>
      <c r="F71" s="39"/>
      <c r="G71" s="32"/>
      <c r="H71" s="40"/>
      <c r="I71" s="41"/>
      <c r="J71" s="32"/>
      <c r="K71" s="32"/>
      <c r="L71" s="32"/>
      <c r="M71" s="33"/>
      <c r="N71" s="32"/>
      <c r="O71" s="32"/>
      <c r="P71" s="32"/>
      <c r="Q71" s="32"/>
      <c r="R71" s="32"/>
      <c r="S71" s="39"/>
      <c r="T71" s="46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4" t="s">
        <v>201</v>
      </c>
      <c r="AH71" s="35">
        <v>92.54</v>
      </c>
      <c r="AI71" s="32"/>
      <c r="AJ71" s="32"/>
      <c r="AK71" s="32"/>
      <c r="AL71" s="37"/>
    </row>
    <row r="72" spans="2:38" s="28" customFormat="1" ht="62.25" customHeight="1" x14ac:dyDescent="0.2">
      <c r="B72" s="29" t="s">
        <v>187</v>
      </c>
      <c r="C72" s="32" t="s">
        <v>188</v>
      </c>
      <c r="D72" s="34">
        <v>2210</v>
      </c>
      <c r="E72" s="39"/>
      <c r="F72" s="39"/>
      <c r="G72" s="32"/>
      <c r="H72" s="40"/>
      <c r="I72" s="41"/>
      <c r="J72" s="32"/>
      <c r="K72" s="32"/>
      <c r="L72" s="32"/>
      <c r="M72" s="33"/>
      <c r="N72" s="32"/>
      <c r="O72" s="32"/>
      <c r="P72" s="32"/>
      <c r="Q72" s="32"/>
      <c r="R72" s="32"/>
      <c r="S72" s="39"/>
      <c r="T72" s="46"/>
      <c r="U72" s="32"/>
      <c r="V72" s="32"/>
      <c r="W72" s="32"/>
      <c r="X72" s="32"/>
      <c r="Y72" s="32"/>
      <c r="Z72" s="32"/>
      <c r="AA72" s="32"/>
      <c r="AB72" s="32"/>
      <c r="AC72" s="32"/>
      <c r="AD72" s="32"/>
      <c r="AE72" s="32"/>
      <c r="AF72" s="32"/>
      <c r="AG72" s="34" t="s">
        <v>202</v>
      </c>
      <c r="AH72" s="35">
        <v>26.67</v>
      </c>
      <c r="AI72" s="32"/>
      <c r="AJ72" s="32"/>
      <c r="AK72" s="32"/>
      <c r="AL72" s="37"/>
    </row>
    <row r="73" spans="2:38" s="28" customFormat="1" ht="67.5" customHeight="1" x14ac:dyDescent="0.2">
      <c r="B73" s="29" t="s">
        <v>187</v>
      </c>
      <c r="C73" s="32" t="s">
        <v>190</v>
      </c>
      <c r="D73" s="34">
        <v>2210</v>
      </c>
      <c r="E73" s="39"/>
      <c r="F73" s="39"/>
      <c r="G73" s="32"/>
      <c r="H73" s="40"/>
      <c r="I73" s="41"/>
      <c r="J73" s="32"/>
      <c r="K73" s="32"/>
      <c r="L73" s="32"/>
      <c r="M73" s="33"/>
      <c r="N73" s="32"/>
      <c r="O73" s="32"/>
      <c r="P73" s="32"/>
      <c r="Q73" s="32"/>
      <c r="R73" s="32"/>
      <c r="S73" s="39"/>
      <c r="T73" s="46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4" t="s">
        <v>203</v>
      </c>
      <c r="AH73" s="35">
        <v>57.85</v>
      </c>
      <c r="AI73" s="32"/>
      <c r="AJ73" s="32"/>
      <c r="AK73" s="32"/>
      <c r="AL73" s="37"/>
    </row>
    <row r="74" spans="2:38" s="28" customFormat="1" ht="60" x14ac:dyDescent="0.2">
      <c r="B74" s="29" t="s">
        <v>204</v>
      </c>
      <c r="C74" s="32" t="s">
        <v>205</v>
      </c>
      <c r="D74" s="34">
        <v>2210</v>
      </c>
      <c r="E74" s="32"/>
      <c r="F74" s="32"/>
      <c r="G74" s="32">
        <v>0</v>
      </c>
      <c r="H74" s="32"/>
      <c r="I74" s="32"/>
      <c r="J74" s="32">
        <v>346</v>
      </c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4" t="s">
        <v>206</v>
      </c>
      <c r="AH74" s="35">
        <v>1346</v>
      </c>
      <c r="AI74" s="32"/>
      <c r="AJ74" s="32"/>
      <c r="AK74" s="41"/>
      <c r="AL74" s="37"/>
    </row>
    <row r="75" spans="2:38" s="28" customFormat="1" ht="60" x14ac:dyDescent="0.2">
      <c r="B75" s="29" t="s">
        <v>207</v>
      </c>
      <c r="C75" s="34" t="s">
        <v>208</v>
      </c>
      <c r="D75" s="34">
        <v>2210</v>
      </c>
      <c r="E75" s="32"/>
      <c r="F75" s="39"/>
      <c r="G75" s="32"/>
      <c r="H75" s="40"/>
      <c r="I75" s="41"/>
      <c r="J75" s="33"/>
      <c r="K75" s="33"/>
      <c r="L75" s="33"/>
      <c r="M75" s="33"/>
      <c r="N75" s="32"/>
      <c r="O75" s="32"/>
      <c r="P75" s="32"/>
      <c r="Q75" s="32"/>
      <c r="R75" s="32"/>
      <c r="S75" s="39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4" t="s">
        <v>209</v>
      </c>
      <c r="AH75" s="35">
        <v>1392</v>
      </c>
      <c r="AI75" s="32"/>
      <c r="AJ75" s="32"/>
      <c r="AK75" s="32"/>
      <c r="AL75" s="42"/>
    </row>
    <row r="76" spans="2:38" s="28" customFormat="1" ht="45" x14ac:dyDescent="0.2">
      <c r="B76" s="29" t="s">
        <v>210</v>
      </c>
      <c r="C76" s="34" t="s">
        <v>211</v>
      </c>
      <c r="D76" s="34">
        <v>2210</v>
      </c>
      <c r="E76" s="32"/>
      <c r="F76" s="39"/>
      <c r="G76" s="32"/>
      <c r="H76" s="40"/>
      <c r="I76" s="41"/>
      <c r="J76" s="33"/>
      <c r="K76" s="33"/>
      <c r="L76" s="33"/>
      <c r="M76" s="33"/>
      <c r="N76" s="32"/>
      <c r="O76" s="32"/>
      <c r="P76" s="32"/>
      <c r="Q76" s="32"/>
      <c r="R76" s="32"/>
      <c r="S76" s="39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4" t="s">
        <v>212</v>
      </c>
      <c r="AH76" s="35">
        <v>364.9</v>
      </c>
      <c r="AI76" s="32"/>
      <c r="AJ76" s="32"/>
      <c r="AK76" s="32"/>
      <c r="AL76" s="37"/>
    </row>
    <row r="77" spans="2:38" s="28" customFormat="1" ht="45" x14ac:dyDescent="0.2">
      <c r="B77" s="29" t="s">
        <v>213</v>
      </c>
      <c r="C77" s="34" t="s">
        <v>214</v>
      </c>
      <c r="D77" s="34">
        <v>2210</v>
      </c>
      <c r="E77" s="32"/>
      <c r="F77" s="39"/>
      <c r="G77" s="32"/>
      <c r="H77" s="40"/>
      <c r="I77" s="41"/>
      <c r="J77" s="33"/>
      <c r="K77" s="33"/>
      <c r="L77" s="33"/>
      <c r="M77" s="33"/>
      <c r="N77" s="32"/>
      <c r="O77" s="32"/>
      <c r="P77" s="32"/>
      <c r="Q77" s="32"/>
      <c r="R77" s="32"/>
      <c r="S77" s="39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  <c r="AF77" s="32"/>
      <c r="AG77" s="34" t="s">
        <v>215</v>
      </c>
      <c r="AH77" s="35">
        <v>494.5</v>
      </c>
      <c r="AI77" s="32"/>
      <c r="AJ77" s="32"/>
      <c r="AK77" s="32"/>
      <c r="AL77" s="37"/>
    </row>
    <row r="78" spans="2:38" s="28" customFormat="1" ht="77.25" customHeight="1" x14ac:dyDescent="0.2">
      <c r="B78" s="29" t="s">
        <v>216</v>
      </c>
      <c r="C78" s="34" t="s">
        <v>217</v>
      </c>
      <c r="D78" s="34">
        <v>2210</v>
      </c>
      <c r="E78" s="32"/>
      <c r="F78" s="32"/>
      <c r="G78" s="32">
        <v>0</v>
      </c>
      <c r="H78" s="32"/>
      <c r="I78" s="32">
        <v>2300</v>
      </c>
      <c r="J78" s="32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4" t="s">
        <v>218</v>
      </c>
      <c r="AH78" s="35">
        <v>2300</v>
      </c>
      <c r="AI78" s="32"/>
      <c r="AJ78" s="32"/>
      <c r="AK78" s="41"/>
      <c r="AL78" s="37"/>
    </row>
    <row r="79" spans="2:38" s="28" customFormat="1" ht="62.25" customHeight="1" x14ac:dyDescent="0.2">
      <c r="B79" s="29" t="s">
        <v>219</v>
      </c>
      <c r="C79" s="34" t="s">
        <v>220</v>
      </c>
      <c r="D79" s="34">
        <v>2210</v>
      </c>
      <c r="E79" s="32"/>
      <c r="F79" s="39"/>
      <c r="G79" s="32"/>
      <c r="H79" s="40"/>
      <c r="I79" s="41"/>
      <c r="J79" s="33"/>
      <c r="K79" s="33"/>
      <c r="L79" s="33"/>
      <c r="M79" s="33"/>
      <c r="N79" s="32"/>
      <c r="O79" s="32"/>
      <c r="P79" s="32"/>
      <c r="Q79" s="32"/>
      <c r="R79" s="32"/>
      <c r="S79" s="39" t="s">
        <v>221</v>
      </c>
      <c r="T79" s="46">
        <v>500</v>
      </c>
      <c r="U79" s="39"/>
      <c r="V79" s="39"/>
      <c r="W79" s="39"/>
      <c r="X79" s="32"/>
      <c r="Y79" s="32"/>
      <c r="Z79" s="32"/>
      <c r="AA79" s="32">
        <v>209.23</v>
      </c>
      <c r="AB79" s="32"/>
      <c r="AC79" s="32"/>
      <c r="AD79" s="32"/>
      <c r="AE79" s="32"/>
      <c r="AF79" s="32"/>
      <c r="AG79" s="34" t="s">
        <v>222</v>
      </c>
      <c r="AH79" s="35">
        <v>5000</v>
      </c>
      <c r="AI79" s="32"/>
      <c r="AJ79" s="32"/>
      <c r="AK79" s="32"/>
      <c r="AL79" s="37"/>
    </row>
    <row r="80" spans="2:38" s="28" customFormat="1" ht="72.75" customHeight="1" x14ac:dyDescent="0.2">
      <c r="B80" s="29" t="s">
        <v>223</v>
      </c>
      <c r="C80" s="34" t="s">
        <v>224</v>
      </c>
      <c r="D80" s="34">
        <v>2210</v>
      </c>
      <c r="E80" s="32"/>
      <c r="F80" s="39"/>
      <c r="G80" s="32"/>
      <c r="H80" s="40"/>
      <c r="I80" s="41"/>
      <c r="J80" s="33"/>
      <c r="K80" s="33"/>
      <c r="L80" s="33"/>
      <c r="M80" s="33"/>
      <c r="N80" s="32"/>
      <c r="O80" s="32"/>
      <c r="P80" s="32"/>
      <c r="Q80" s="32"/>
      <c r="R80" s="32"/>
      <c r="S80" s="39"/>
      <c r="T80" s="46"/>
      <c r="U80" s="39"/>
      <c r="V80" s="39"/>
      <c r="W80" s="39"/>
      <c r="X80" s="32"/>
      <c r="Y80" s="32"/>
      <c r="Z80" s="32"/>
      <c r="AA80" s="32"/>
      <c r="AB80" s="32"/>
      <c r="AC80" s="32"/>
      <c r="AD80" s="32"/>
      <c r="AE80" s="32"/>
      <c r="AF80" s="32"/>
      <c r="AG80" s="34" t="s">
        <v>225</v>
      </c>
      <c r="AH80" s="35">
        <f>304+156</f>
        <v>460</v>
      </c>
      <c r="AI80" s="32"/>
      <c r="AJ80" s="32"/>
      <c r="AK80" s="32"/>
      <c r="AL80" s="42"/>
    </row>
    <row r="81" spans="2:38" s="28" customFormat="1" ht="70.5" customHeight="1" x14ac:dyDescent="0.2">
      <c r="B81" s="29" t="s">
        <v>226</v>
      </c>
      <c r="C81" s="34" t="s">
        <v>227</v>
      </c>
      <c r="D81" s="34">
        <v>2210</v>
      </c>
      <c r="E81" s="32"/>
      <c r="F81" s="39"/>
      <c r="G81" s="32"/>
      <c r="H81" s="40"/>
      <c r="I81" s="41"/>
      <c r="J81" s="33"/>
      <c r="K81" s="33"/>
      <c r="L81" s="33"/>
      <c r="M81" s="33"/>
      <c r="N81" s="32"/>
      <c r="O81" s="32"/>
      <c r="P81" s="32"/>
      <c r="Q81" s="32"/>
      <c r="R81" s="32"/>
      <c r="S81" s="39"/>
      <c r="T81" s="46"/>
      <c r="U81" s="39"/>
      <c r="V81" s="39"/>
      <c r="W81" s="39"/>
      <c r="X81" s="32"/>
      <c r="Y81" s="32"/>
      <c r="Z81" s="32"/>
      <c r="AA81" s="32"/>
      <c r="AB81" s="32"/>
      <c r="AC81" s="32"/>
      <c r="AD81" s="32"/>
      <c r="AE81" s="32"/>
      <c r="AF81" s="32"/>
      <c r="AG81" s="34" t="s">
        <v>228</v>
      </c>
      <c r="AH81" s="35">
        <v>68</v>
      </c>
      <c r="AI81" s="32"/>
      <c r="AJ81" s="32"/>
      <c r="AK81" s="32"/>
      <c r="AL81" s="37"/>
    </row>
    <row r="82" spans="2:38" s="28" customFormat="1" ht="45" hidden="1" x14ac:dyDescent="0.2">
      <c r="B82" s="29" t="s">
        <v>229</v>
      </c>
      <c r="C82" s="34" t="s">
        <v>230</v>
      </c>
      <c r="D82" s="34">
        <v>2210</v>
      </c>
      <c r="E82" s="32"/>
      <c r="F82" s="39"/>
      <c r="G82" s="32"/>
      <c r="H82" s="40"/>
      <c r="I82" s="41"/>
      <c r="J82" s="33"/>
      <c r="K82" s="33"/>
      <c r="L82" s="33"/>
      <c r="M82" s="33"/>
      <c r="N82" s="32"/>
      <c r="O82" s="32"/>
      <c r="P82" s="32"/>
      <c r="Q82" s="32"/>
      <c r="R82" s="32"/>
      <c r="S82" s="39" t="s">
        <v>231</v>
      </c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4" t="s">
        <v>228</v>
      </c>
      <c r="AH82" s="35"/>
      <c r="AI82" s="32"/>
      <c r="AJ82" s="32"/>
      <c r="AK82" s="32"/>
      <c r="AL82" s="42"/>
    </row>
    <row r="83" spans="2:38" s="28" customFormat="1" ht="45" hidden="1" x14ac:dyDescent="0.2">
      <c r="B83" s="29" t="s">
        <v>232</v>
      </c>
      <c r="C83" s="34" t="s">
        <v>233</v>
      </c>
      <c r="D83" s="34">
        <v>2210</v>
      </c>
      <c r="E83" s="32"/>
      <c r="F83" s="39"/>
      <c r="G83" s="32"/>
      <c r="H83" s="40"/>
      <c r="I83" s="41"/>
      <c r="J83" s="33"/>
      <c r="K83" s="33"/>
      <c r="L83" s="33"/>
      <c r="M83" s="33"/>
      <c r="N83" s="32"/>
      <c r="O83" s="32"/>
      <c r="P83" s="32"/>
      <c r="Q83" s="32"/>
      <c r="R83" s="32"/>
      <c r="S83" s="39"/>
      <c r="T83" s="32"/>
      <c r="U83" s="32"/>
      <c r="V83" s="32"/>
      <c r="W83" s="32"/>
      <c r="X83" s="32"/>
      <c r="Y83" s="32"/>
      <c r="Z83" s="32"/>
      <c r="AA83" s="32"/>
      <c r="AB83" s="32">
        <v>148</v>
      </c>
      <c r="AC83" s="32"/>
      <c r="AD83" s="32"/>
      <c r="AE83" s="32"/>
      <c r="AF83" s="32"/>
      <c r="AG83" s="34" t="s">
        <v>228</v>
      </c>
      <c r="AH83" s="35"/>
      <c r="AI83" s="32"/>
      <c r="AJ83" s="32"/>
      <c r="AK83" s="32"/>
      <c r="AL83" s="42"/>
    </row>
    <row r="84" spans="2:38" s="28" customFormat="1" ht="45" hidden="1" x14ac:dyDescent="0.2">
      <c r="B84" s="29" t="s">
        <v>234</v>
      </c>
      <c r="C84" s="34" t="s">
        <v>235</v>
      </c>
      <c r="D84" s="34">
        <v>2210</v>
      </c>
      <c r="E84" s="32"/>
      <c r="F84" s="39"/>
      <c r="G84" s="32"/>
      <c r="H84" s="40"/>
      <c r="I84" s="41"/>
      <c r="J84" s="33"/>
      <c r="K84" s="33"/>
      <c r="L84" s="33"/>
      <c r="M84" s="33"/>
      <c r="N84" s="32"/>
      <c r="O84" s="32"/>
      <c r="P84" s="32"/>
      <c r="Q84" s="32"/>
      <c r="R84" s="32"/>
      <c r="S84" s="39"/>
      <c r="T84" s="32"/>
      <c r="U84" s="32"/>
      <c r="V84" s="32"/>
      <c r="W84" s="32"/>
      <c r="X84" s="32"/>
      <c r="Y84" s="32"/>
      <c r="Z84" s="32"/>
      <c r="AA84" s="32">
        <v>71</v>
      </c>
      <c r="AB84" s="32"/>
      <c r="AC84" s="32"/>
      <c r="AD84" s="32"/>
      <c r="AE84" s="32"/>
      <c r="AF84" s="32"/>
      <c r="AG84" s="34" t="s">
        <v>228</v>
      </c>
      <c r="AH84" s="35"/>
      <c r="AI84" s="32"/>
      <c r="AJ84" s="32"/>
      <c r="AK84" s="32"/>
      <c r="AL84" s="42"/>
    </row>
    <row r="85" spans="2:38" s="28" customFormat="1" ht="45" hidden="1" x14ac:dyDescent="0.2">
      <c r="B85" s="29" t="s">
        <v>236</v>
      </c>
      <c r="C85" s="34" t="s">
        <v>237</v>
      </c>
      <c r="D85" s="34">
        <v>2210</v>
      </c>
      <c r="E85" s="32"/>
      <c r="F85" s="39"/>
      <c r="G85" s="32"/>
      <c r="H85" s="40"/>
      <c r="I85" s="41"/>
      <c r="J85" s="33"/>
      <c r="K85" s="33"/>
      <c r="L85" s="33"/>
      <c r="M85" s="33"/>
      <c r="N85" s="32"/>
      <c r="O85" s="32"/>
      <c r="P85" s="32"/>
      <c r="Q85" s="32"/>
      <c r="R85" s="32"/>
      <c r="S85" s="39"/>
      <c r="T85" s="32"/>
      <c r="U85" s="32"/>
      <c r="V85" s="32"/>
      <c r="W85" s="32"/>
      <c r="X85" s="32"/>
      <c r="Y85" s="32"/>
      <c r="Z85" s="35">
        <v>340</v>
      </c>
      <c r="AA85" s="32">
        <v>180</v>
      </c>
      <c r="AB85" s="32">
        <f>368+294</f>
        <v>662</v>
      </c>
      <c r="AC85" s="32"/>
      <c r="AD85" s="32"/>
      <c r="AE85" s="32"/>
      <c r="AF85" s="32"/>
      <c r="AG85" s="34" t="s">
        <v>228</v>
      </c>
      <c r="AH85" s="35"/>
      <c r="AI85" s="32"/>
      <c r="AJ85" s="32"/>
      <c r="AK85" s="32"/>
      <c r="AL85" s="42"/>
    </row>
    <row r="86" spans="2:38" s="28" customFormat="1" ht="45" hidden="1" x14ac:dyDescent="0.2">
      <c r="B86" s="29" t="s">
        <v>238</v>
      </c>
      <c r="C86" s="34" t="s">
        <v>239</v>
      </c>
      <c r="D86" s="34">
        <v>2210</v>
      </c>
      <c r="E86" s="32"/>
      <c r="F86" s="39" t="s">
        <v>240</v>
      </c>
      <c r="G86" s="32">
        <v>1300</v>
      </c>
      <c r="H86" s="40"/>
      <c r="I86" s="41">
        <v>750</v>
      </c>
      <c r="J86" s="33"/>
      <c r="K86" s="33"/>
      <c r="L86" s="33"/>
      <c r="M86" s="33"/>
      <c r="N86" s="32">
        <v>450</v>
      </c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4" t="s">
        <v>228</v>
      </c>
      <c r="AH86" s="35"/>
      <c r="AI86" s="32"/>
      <c r="AJ86" s="32"/>
      <c r="AK86" s="32"/>
      <c r="AL86" s="42"/>
    </row>
    <row r="87" spans="2:38" s="28" customFormat="1" ht="45" hidden="1" x14ac:dyDescent="0.2">
      <c r="B87" s="29" t="s">
        <v>241</v>
      </c>
      <c r="C87" s="34" t="s">
        <v>242</v>
      </c>
      <c r="D87" s="34">
        <v>2210</v>
      </c>
      <c r="E87" s="32"/>
      <c r="F87" s="32"/>
      <c r="G87" s="40"/>
      <c r="H87" s="39"/>
      <c r="I87" s="41">
        <v>1400</v>
      </c>
      <c r="J87" s="33"/>
      <c r="K87" s="33"/>
      <c r="L87" s="33"/>
      <c r="M87" s="33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4" t="s">
        <v>228</v>
      </c>
      <c r="AH87" s="35"/>
      <c r="AI87" s="32"/>
      <c r="AJ87" s="32"/>
      <c r="AK87" s="32"/>
      <c r="AL87" s="42"/>
    </row>
    <row r="88" spans="2:38" s="28" customFormat="1" ht="24.75" hidden="1" customHeight="1" x14ac:dyDescent="0.2">
      <c r="B88" s="29" t="s">
        <v>243</v>
      </c>
      <c r="C88" s="34" t="s">
        <v>244</v>
      </c>
      <c r="D88" s="34">
        <v>2210</v>
      </c>
      <c r="E88" s="47"/>
      <c r="F88" s="39"/>
      <c r="G88" s="32"/>
      <c r="H88" s="40"/>
      <c r="I88" s="41"/>
      <c r="J88" s="33"/>
      <c r="K88" s="41"/>
      <c r="L88" s="33"/>
      <c r="M88" s="33"/>
      <c r="N88" s="32"/>
      <c r="O88" s="32"/>
      <c r="P88" s="32"/>
      <c r="Q88" s="32"/>
      <c r="R88" s="32"/>
      <c r="S88" s="39" t="s">
        <v>245</v>
      </c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4" t="s">
        <v>228</v>
      </c>
      <c r="AH88" s="35"/>
      <c r="AI88" s="32"/>
      <c r="AJ88" s="32"/>
      <c r="AK88" s="32"/>
      <c r="AL88" s="42"/>
    </row>
    <row r="89" spans="2:38" s="28" customFormat="1" ht="45" hidden="1" x14ac:dyDescent="0.2">
      <c r="B89" s="29" t="s">
        <v>246</v>
      </c>
      <c r="C89" s="34" t="s">
        <v>247</v>
      </c>
      <c r="D89" s="34">
        <v>2210</v>
      </c>
      <c r="E89" s="47"/>
      <c r="F89" s="39"/>
      <c r="G89" s="32"/>
      <c r="H89" s="40"/>
      <c r="I89" s="41">
        <v>600</v>
      </c>
      <c r="J89" s="33"/>
      <c r="K89" s="41">
        <v>7500</v>
      </c>
      <c r="L89" s="33"/>
      <c r="M89" s="33"/>
      <c r="N89" s="32"/>
      <c r="O89" s="32"/>
      <c r="P89" s="32">
        <v>2500</v>
      </c>
      <c r="Q89" s="32"/>
      <c r="R89" s="32"/>
      <c r="S89" s="39" t="s">
        <v>248</v>
      </c>
      <c r="T89" s="32"/>
      <c r="U89" s="32"/>
      <c r="V89" s="32"/>
      <c r="W89" s="32"/>
      <c r="X89" s="32"/>
      <c r="Y89" s="32"/>
      <c r="Z89" s="32"/>
      <c r="AA89" s="32"/>
      <c r="AB89" s="32"/>
      <c r="AC89" s="32">
        <v>60365</v>
      </c>
      <c r="AD89" s="32"/>
      <c r="AE89" s="32"/>
      <c r="AF89" s="32"/>
      <c r="AG89" s="34" t="s">
        <v>228</v>
      </c>
      <c r="AH89" s="35"/>
      <c r="AI89" s="32"/>
      <c r="AJ89" s="32"/>
      <c r="AK89" s="32"/>
      <c r="AL89" s="42"/>
    </row>
    <row r="90" spans="2:38" s="28" customFormat="1" ht="45" hidden="1" x14ac:dyDescent="0.2">
      <c r="B90" s="29" t="s">
        <v>249</v>
      </c>
      <c r="C90" s="34" t="s">
        <v>250</v>
      </c>
      <c r="D90" s="34">
        <v>2210</v>
      </c>
      <c r="E90" s="34"/>
      <c r="F90" s="34"/>
      <c r="G90" s="32"/>
      <c r="H90" s="40"/>
      <c r="I90" s="41"/>
      <c r="J90" s="33"/>
      <c r="K90" s="41"/>
      <c r="L90" s="33"/>
      <c r="M90" s="33"/>
      <c r="N90" s="32"/>
      <c r="O90" s="32"/>
      <c r="P90" s="32"/>
      <c r="Q90" s="32"/>
      <c r="R90" s="39" t="s">
        <v>251</v>
      </c>
      <c r="S90" s="39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4" t="s">
        <v>228</v>
      </c>
      <c r="AH90" s="35"/>
      <c r="AI90" s="32"/>
      <c r="AJ90" s="32"/>
      <c r="AK90" s="32"/>
      <c r="AL90" s="42"/>
    </row>
    <row r="91" spans="2:38" s="28" customFormat="1" ht="45" hidden="1" x14ac:dyDescent="0.2">
      <c r="B91" s="29" t="s">
        <v>252</v>
      </c>
      <c r="C91" s="34" t="s">
        <v>253</v>
      </c>
      <c r="D91" s="34">
        <v>2210</v>
      </c>
      <c r="E91" s="34"/>
      <c r="F91" s="34"/>
      <c r="G91" s="32"/>
      <c r="H91" s="40"/>
      <c r="I91" s="41"/>
      <c r="J91" s="33"/>
      <c r="K91" s="41"/>
      <c r="L91" s="33"/>
      <c r="M91" s="33"/>
      <c r="N91" s="32"/>
      <c r="O91" s="32"/>
      <c r="P91" s="32"/>
      <c r="Q91" s="32"/>
      <c r="R91" s="39"/>
      <c r="S91" s="39"/>
      <c r="T91" s="32"/>
      <c r="U91" s="32"/>
      <c r="V91" s="32"/>
      <c r="W91" s="32"/>
      <c r="X91" s="32"/>
      <c r="Y91" s="32"/>
      <c r="Z91" s="32">
        <v>2600</v>
      </c>
      <c r="AA91" s="32"/>
      <c r="AB91" s="32"/>
      <c r="AC91" s="32"/>
      <c r="AD91" s="32"/>
      <c r="AE91" s="32"/>
      <c r="AF91" s="32"/>
      <c r="AG91" s="34" t="s">
        <v>228</v>
      </c>
      <c r="AH91" s="35"/>
      <c r="AI91" s="32"/>
      <c r="AJ91" s="32"/>
      <c r="AK91" s="32"/>
      <c r="AL91" s="42"/>
    </row>
    <row r="92" spans="2:38" s="28" customFormat="1" ht="45" hidden="1" x14ac:dyDescent="0.2">
      <c r="B92" s="29" t="s">
        <v>254</v>
      </c>
      <c r="C92" s="34" t="s">
        <v>255</v>
      </c>
      <c r="D92" s="34">
        <v>2210</v>
      </c>
      <c r="E92" s="32"/>
      <c r="F92" s="39"/>
      <c r="G92" s="32"/>
      <c r="H92" s="40"/>
      <c r="I92" s="41"/>
      <c r="J92" s="33"/>
      <c r="K92" s="41"/>
      <c r="L92" s="33"/>
      <c r="M92" s="33"/>
      <c r="N92" s="32"/>
      <c r="O92" s="32"/>
      <c r="P92" s="32"/>
      <c r="Q92" s="32"/>
      <c r="R92" s="32"/>
      <c r="S92" s="39" t="s">
        <v>256</v>
      </c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  <c r="AF92" s="32"/>
      <c r="AG92" s="34" t="s">
        <v>228</v>
      </c>
      <c r="AH92" s="35"/>
      <c r="AI92" s="32"/>
      <c r="AJ92" s="32"/>
      <c r="AK92" s="32"/>
      <c r="AL92" s="42"/>
    </row>
    <row r="93" spans="2:38" s="28" customFormat="1" ht="75" hidden="1" x14ac:dyDescent="0.2">
      <c r="B93" s="29" t="s">
        <v>257</v>
      </c>
      <c r="C93" s="34" t="s">
        <v>258</v>
      </c>
      <c r="D93" s="34">
        <v>2210</v>
      </c>
      <c r="E93" s="32"/>
      <c r="F93" s="39"/>
      <c r="G93" s="32"/>
      <c r="H93" s="40"/>
      <c r="I93" s="41"/>
      <c r="J93" s="33"/>
      <c r="K93" s="41"/>
      <c r="L93" s="33"/>
      <c r="M93" s="33"/>
      <c r="N93" s="32"/>
      <c r="O93" s="32"/>
      <c r="P93" s="32"/>
      <c r="Q93" s="32"/>
      <c r="R93" s="32"/>
      <c r="S93" s="39"/>
      <c r="T93" s="46">
        <v>506.25</v>
      </c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4" t="s">
        <v>228</v>
      </c>
      <c r="AH93" s="35"/>
      <c r="AI93" s="32"/>
      <c r="AJ93" s="32"/>
      <c r="AK93" s="32"/>
      <c r="AL93" s="42"/>
    </row>
    <row r="94" spans="2:38" s="28" customFormat="1" ht="66" x14ac:dyDescent="0.2">
      <c r="B94" s="29" t="s">
        <v>236</v>
      </c>
      <c r="C94" s="34" t="s">
        <v>237</v>
      </c>
      <c r="D94" s="34">
        <v>2210</v>
      </c>
      <c r="E94" s="47"/>
      <c r="F94" s="34"/>
      <c r="G94" s="34"/>
      <c r="H94" s="47"/>
      <c r="I94" s="34"/>
      <c r="J94" s="34"/>
      <c r="K94" s="47"/>
      <c r="L94" s="34"/>
      <c r="M94" s="34"/>
      <c r="N94" s="47"/>
      <c r="O94" s="34"/>
      <c r="P94" s="34"/>
      <c r="Q94" s="47"/>
      <c r="R94" s="34"/>
      <c r="S94" s="34"/>
      <c r="T94" s="47"/>
      <c r="U94" s="34"/>
      <c r="V94" s="34"/>
      <c r="W94" s="47"/>
      <c r="X94" s="34"/>
      <c r="Y94" s="34"/>
      <c r="Z94" s="47"/>
      <c r="AA94" s="34"/>
      <c r="AB94" s="34"/>
      <c r="AC94" s="47"/>
      <c r="AD94" s="34"/>
      <c r="AE94" s="34"/>
      <c r="AF94" s="47"/>
      <c r="AG94" s="34" t="s">
        <v>259</v>
      </c>
      <c r="AH94" s="35">
        <f>812+2902</f>
        <v>3714</v>
      </c>
      <c r="AI94" s="32"/>
      <c r="AJ94" s="32"/>
      <c r="AK94" s="32"/>
      <c r="AL94" s="42" t="s">
        <v>260</v>
      </c>
    </row>
    <row r="95" spans="2:38" s="28" customFormat="1" ht="45" x14ac:dyDescent="0.2">
      <c r="B95" s="29" t="s">
        <v>254</v>
      </c>
      <c r="C95" s="34" t="s">
        <v>255</v>
      </c>
      <c r="D95" s="34">
        <v>2210</v>
      </c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 t="s">
        <v>261</v>
      </c>
      <c r="AH95" s="35">
        <v>185.25</v>
      </c>
      <c r="AI95" s="32"/>
      <c r="AJ95" s="32"/>
      <c r="AK95" s="32"/>
      <c r="AL95" s="37"/>
    </row>
    <row r="96" spans="2:38" s="28" customFormat="1" ht="45" x14ac:dyDescent="0.2">
      <c r="B96" s="29" t="s">
        <v>262</v>
      </c>
      <c r="C96" s="34" t="s">
        <v>263</v>
      </c>
      <c r="D96" s="34">
        <v>2210</v>
      </c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 t="s">
        <v>264</v>
      </c>
      <c r="AH96" s="35">
        <v>315.99</v>
      </c>
      <c r="AI96" s="32"/>
      <c r="AJ96" s="32"/>
      <c r="AK96" s="32"/>
      <c r="AL96" s="42"/>
    </row>
    <row r="97" spans="2:42" s="28" customFormat="1" ht="30" x14ac:dyDescent="0.2">
      <c r="B97" s="29" t="s">
        <v>265</v>
      </c>
      <c r="C97" s="34" t="s">
        <v>266</v>
      </c>
      <c r="D97" s="34">
        <v>2210</v>
      </c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 t="s">
        <v>267</v>
      </c>
      <c r="AH97" s="35">
        <v>20.149999999999999</v>
      </c>
      <c r="AI97" s="32"/>
      <c r="AJ97" s="32"/>
      <c r="AK97" s="32"/>
      <c r="AL97" s="42"/>
    </row>
    <row r="98" spans="2:42" s="28" customFormat="1" ht="51.75" customHeight="1" x14ac:dyDescent="0.2">
      <c r="B98" s="29" t="s">
        <v>268</v>
      </c>
      <c r="C98" s="34" t="s">
        <v>269</v>
      </c>
      <c r="D98" s="34">
        <v>2210</v>
      </c>
      <c r="E98" s="34"/>
      <c r="F98" s="34"/>
      <c r="G98" s="34"/>
      <c r="H98" s="34"/>
      <c r="I98" s="34"/>
      <c r="J98" s="34"/>
      <c r="K98" s="34"/>
      <c r="L98" s="34"/>
      <c r="M98" s="34"/>
      <c r="N98" s="34">
        <v>3000</v>
      </c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 t="s">
        <v>222</v>
      </c>
      <c r="AH98" s="35">
        <v>5000</v>
      </c>
      <c r="AI98" s="32"/>
      <c r="AJ98" s="32"/>
      <c r="AK98" s="32"/>
      <c r="AL98" s="37"/>
    </row>
    <row r="99" spans="2:42" s="28" customFormat="1" ht="75" x14ac:dyDescent="0.2">
      <c r="B99" s="29" t="s">
        <v>270</v>
      </c>
      <c r="C99" s="34" t="s">
        <v>271</v>
      </c>
      <c r="D99" s="34">
        <v>2210</v>
      </c>
      <c r="E99" s="34">
        <v>3000</v>
      </c>
      <c r="F99" s="34" t="s">
        <v>272</v>
      </c>
      <c r="G99" s="34">
        <f>E99+F99</f>
        <v>6000</v>
      </c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34"/>
      <c r="AF99" s="34"/>
      <c r="AG99" s="34" t="s">
        <v>273</v>
      </c>
      <c r="AH99" s="35">
        <v>1500</v>
      </c>
      <c r="AI99" s="32"/>
      <c r="AJ99" s="32"/>
      <c r="AK99" s="32"/>
      <c r="AL99" s="37"/>
    </row>
    <row r="100" spans="2:42" s="28" customFormat="1" ht="71.25" x14ac:dyDescent="0.2">
      <c r="B100" s="48" t="s">
        <v>274</v>
      </c>
      <c r="C100" s="32"/>
      <c r="D100" s="34"/>
      <c r="E100" s="41">
        <f t="shared" ref="E100:AF100" si="1">SUM(E9:E99)</f>
        <v>12000</v>
      </c>
      <c r="F100" s="41">
        <f t="shared" si="1"/>
        <v>89800</v>
      </c>
      <c r="G100" s="41">
        <f t="shared" si="1"/>
        <v>106930</v>
      </c>
      <c r="H100" s="41">
        <f t="shared" si="1"/>
        <v>0</v>
      </c>
      <c r="I100" s="41">
        <f t="shared" si="1"/>
        <v>6567</v>
      </c>
      <c r="J100" s="41">
        <f t="shared" si="1"/>
        <v>1448</v>
      </c>
      <c r="K100" s="41">
        <f t="shared" si="1"/>
        <v>9380</v>
      </c>
      <c r="L100" s="41">
        <f t="shared" si="1"/>
        <v>7500</v>
      </c>
      <c r="M100" s="41">
        <f t="shared" si="1"/>
        <v>3677.9</v>
      </c>
      <c r="N100" s="41">
        <f t="shared" si="1"/>
        <v>3838</v>
      </c>
      <c r="O100" s="41">
        <f t="shared" si="1"/>
        <v>530.4</v>
      </c>
      <c r="P100" s="41">
        <f t="shared" si="1"/>
        <v>2500</v>
      </c>
      <c r="Q100" s="41">
        <f t="shared" si="1"/>
        <v>99</v>
      </c>
      <c r="R100" s="41">
        <f t="shared" si="1"/>
        <v>3400</v>
      </c>
      <c r="S100" s="41">
        <f t="shared" si="1"/>
        <v>31024.84</v>
      </c>
      <c r="T100" s="41">
        <f t="shared" si="1"/>
        <v>23495.57</v>
      </c>
      <c r="U100" s="41">
        <f t="shared" si="1"/>
        <v>4249.7299999999996</v>
      </c>
      <c r="V100" s="41">
        <f t="shared" si="1"/>
        <v>0</v>
      </c>
      <c r="W100" s="41">
        <f t="shared" si="1"/>
        <v>5877</v>
      </c>
      <c r="X100" s="41">
        <f t="shared" si="1"/>
        <v>0</v>
      </c>
      <c r="Y100" s="41">
        <f t="shared" si="1"/>
        <v>4000</v>
      </c>
      <c r="Z100" s="41">
        <f t="shared" si="1"/>
        <v>12442</v>
      </c>
      <c r="AA100" s="41">
        <f t="shared" si="1"/>
        <v>1943.6700000000003</v>
      </c>
      <c r="AB100" s="41">
        <f t="shared" si="1"/>
        <v>1718</v>
      </c>
      <c r="AC100" s="41">
        <f t="shared" si="1"/>
        <v>60665</v>
      </c>
      <c r="AD100" s="41">
        <f t="shared" si="1"/>
        <v>0</v>
      </c>
      <c r="AE100" s="41">
        <f t="shared" si="1"/>
        <v>0</v>
      </c>
      <c r="AF100" s="41">
        <f t="shared" si="1"/>
        <v>0</v>
      </c>
      <c r="AG100" s="41" t="s">
        <v>275</v>
      </c>
      <c r="AH100" s="49">
        <f>SUM(AH8:AH99)</f>
        <v>122308.15000000001</v>
      </c>
      <c r="AI100" s="41"/>
      <c r="AJ100" s="32"/>
      <c r="AK100" s="32"/>
      <c r="AL100" s="50"/>
    </row>
    <row r="101" spans="2:42" s="28" customFormat="1" ht="45" x14ac:dyDescent="0.2">
      <c r="B101" s="29" t="s">
        <v>74</v>
      </c>
      <c r="C101" s="34" t="s">
        <v>276</v>
      </c>
      <c r="D101" s="34">
        <v>2220</v>
      </c>
      <c r="E101" s="39"/>
      <c r="F101" s="32"/>
      <c r="G101" s="32">
        <f t="shared" ref="G101:G133" si="2">E101+F101</f>
        <v>0</v>
      </c>
      <c r="H101" s="32"/>
      <c r="I101" s="41"/>
      <c r="J101" s="32"/>
      <c r="K101" s="32"/>
      <c r="L101" s="32"/>
      <c r="M101" s="51"/>
      <c r="N101" s="32">
        <v>1542</v>
      </c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  <c r="AA101" s="32"/>
      <c r="AB101" s="32"/>
      <c r="AC101" s="32"/>
      <c r="AD101" s="32"/>
      <c r="AE101" s="32"/>
      <c r="AF101" s="32"/>
      <c r="AG101" s="32" t="s">
        <v>277</v>
      </c>
      <c r="AH101" s="35">
        <v>1500</v>
      </c>
      <c r="AI101" s="32"/>
      <c r="AJ101" s="32"/>
      <c r="AK101" s="32"/>
      <c r="AL101" s="37"/>
    </row>
    <row r="102" spans="2:42" s="28" customFormat="1" ht="45" x14ac:dyDescent="0.2">
      <c r="B102" s="29" t="s">
        <v>79</v>
      </c>
      <c r="C102" s="34" t="s">
        <v>80</v>
      </c>
      <c r="D102" s="34">
        <v>2220</v>
      </c>
      <c r="E102" s="32">
        <v>300</v>
      </c>
      <c r="F102" s="32"/>
      <c r="G102" s="32">
        <f t="shared" si="2"/>
        <v>300</v>
      </c>
      <c r="H102" s="44"/>
      <c r="I102" s="32"/>
      <c r="J102" s="32"/>
      <c r="K102" s="32"/>
      <c r="L102" s="32"/>
      <c r="M102" s="36"/>
      <c r="N102" s="32"/>
      <c r="O102" s="32">
        <v>600</v>
      </c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  <c r="AA102" s="32">
        <f>305.18-619.13+307.86</f>
        <v>-6.089999999999975</v>
      </c>
      <c r="AB102" s="32"/>
      <c r="AC102" s="32"/>
      <c r="AD102" s="32"/>
      <c r="AE102" s="32"/>
      <c r="AF102" s="32"/>
      <c r="AG102" s="32" t="s">
        <v>177</v>
      </c>
      <c r="AH102" s="35">
        <v>1000</v>
      </c>
      <c r="AI102" s="32"/>
      <c r="AJ102" s="32"/>
      <c r="AK102" s="32"/>
      <c r="AL102" s="37"/>
      <c r="AO102" s="38"/>
      <c r="AP102" s="38"/>
    </row>
    <row r="103" spans="2:42" s="28" customFormat="1" ht="75" x14ac:dyDescent="0.2">
      <c r="B103" s="29" t="s">
        <v>278</v>
      </c>
      <c r="C103" s="34" t="s">
        <v>279</v>
      </c>
      <c r="D103" s="34">
        <v>2220</v>
      </c>
      <c r="E103" s="32">
        <v>17000</v>
      </c>
      <c r="F103" s="32"/>
      <c r="G103" s="32">
        <f t="shared" si="2"/>
        <v>17000</v>
      </c>
      <c r="H103" s="44"/>
      <c r="I103" s="32"/>
      <c r="J103" s="32"/>
      <c r="K103" s="32"/>
      <c r="L103" s="32">
        <v>1372</v>
      </c>
      <c r="M103" s="36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>
        <v>21457.8</v>
      </c>
      <c r="Z103" s="32"/>
      <c r="AA103" s="32"/>
      <c r="AB103" s="32"/>
      <c r="AC103" s="32"/>
      <c r="AD103" s="32"/>
      <c r="AE103" s="32"/>
      <c r="AF103" s="32"/>
      <c r="AG103" s="32" t="s">
        <v>280</v>
      </c>
      <c r="AH103" s="35">
        <v>36435</v>
      </c>
      <c r="AI103" s="32"/>
      <c r="AJ103" s="32"/>
      <c r="AK103" s="32"/>
      <c r="AL103" s="37"/>
      <c r="AO103" s="38"/>
      <c r="AP103" s="38"/>
    </row>
    <row r="104" spans="2:42" s="28" customFormat="1" ht="45" x14ac:dyDescent="0.2">
      <c r="B104" s="29" t="s">
        <v>281</v>
      </c>
      <c r="C104" s="34" t="s">
        <v>83</v>
      </c>
      <c r="D104" s="34">
        <v>2220</v>
      </c>
      <c r="E104" s="32">
        <v>2000</v>
      </c>
      <c r="F104" s="32"/>
      <c r="G104" s="32">
        <f t="shared" si="2"/>
        <v>2000</v>
      </c>
      <c r="H104" s="44"/>
      <c r="I104" s="32"/>
      <c r="J104" s="32"/>
      <c r="K104" s="32"/>
      <c r="L104" s="32"/>
      <c r="M104" s="36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>
        <f>-709.05+933.02</f>
        <v>223.97000000000003</v>
      </c>
      <c r="AB104" s="32"/>
      <c r="AC104" s="32"/>
      <c r="AD104" s="32"/>
      <c r="AE104" s="32"/>
      <c r="AF104" s="32"/>
      <c r="AG104" s="32" t="s">
        <v>282</v>
      </c>
      <c r="AH104" s="35">
        <v>2500</v>
      </c>
      <c r="AI104" s="32"/>
      <c r="AJ104" s="32"/>
      <c r="AK104" s="32"/>
      <c r="AL104" s="37"/>
      <c r="AO104" s="38"/>
      <c r="AP104" s="38"/>
    </row>
    <row r="105" spans="2:42" s="28" customFormat="1" ht="63" customHeight="1" x14ac:dyDescent="0.2">
      <c r="B105" s="29" t="s">
        <v>283</v>
      </c>
      <c r="C105" s="34" t="s">
        <v>284</v>
      </c>
      <c r="D105" s="34">
        <v>2220</v>
      </c>
      <c r="E105" s="32">
        <v>500</v>
      </c>
      <c r="F105" s="32"/>
      <c r="G105" s="32">
        <f t="shared" si="2"/>
        <v>500</v>
      </c>
      <c r="H105" s="44"/>
      <c r="I105" s="32"/>
      <c r="J105" s="32"/>
      <c r="K105" s="32"/>
      <c r="L105" s="32">
        <v>835</v>
      </c>
      <c r="M105" s="36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  <c r="AF105" s="32"/>
      <c r="AG105" s="32" t="s">
        <v>285</v>
      </c>
      <c r="AH105" s="35">
        <v>870</v>
      </c>
      <c r="AI105" s="32"/>
      <c r="AJ105" s="32"/>
      <c r="AK105" s="32"/>
      <c r="AL105" s="37"/>
      <c r="AO105" s="38"/>
      <c r="AP105" s="38"/>
    </row>
    <row r="106" spans="2:42" s="28" customFormat="1" ht="45" x14ac:dyDescent="0.2">
      <c r="B106" s="29" t="s">
        <v>85</v>
      </c>
      <c r="C106" s="34" t="s">
        <v>86</v>
      </c>
      <c r="D106" s="34">
        <v>2220</v>
      </c>
      <c r="E106" s="32">
        <v>99000</v>
      </c>
      <c r="F106" s="32"/>
      <c r="G106" s="32">
        <f t="shared" si="2"/>
        <v>99000</v>
      </c>
      <c r="H106" s="44"/>
      <c r="I106" s="32"/>
      <c r="J106" s="32"/>
      <c r="K106" s="32"/>
      <c r="L106" s="32">
        <v>-17945.7</v>
      </c>
      <c r="M106" s="36"/>
      <c r="N106" s="32"/>
      <c r="O106" s="32"/>
      <c r="P106" s="32"/>
      <c r="Q106" s="32"/>
      <c r="R106" s="32"/>
      <c r="S106" s="39" t="s">
        <v>286</v>
      </c>
      <c r="T106" s="32"/>
      <c r="U106" s="32"/>
      <c r="V106" s="32"/>
      <c r="W106" s="32"/>
      <c r="X106" s="32"/>
      <c r="Y106" s="32"/>
      <c r="Z106" s="32"/>
      <c r="AA106" s="32">
        <f>8346.02+205.44</f>
        <v>8551.4600000000009</v>
      </c>
      <c r="AB106" s="32"/>
      <c r="AC106" s="32"/>
      <c r="AD106" s="32"/>
      <c r="AE106" s="32"/>
      <c r="AF106" s="32"/>
      <c r="AG106" s="32" t="s">
        <v>287</v>
      </c>
      <c r="AH106" s="35">
        <v>90000</v>
      </c>
      <c r="AI106" s="32"/>
      <c r="AJ106" s="32"/>
      <c r="AK106" s="32"/>
      <c r="AL106" s="37"/>
      <c r="AO106" s="38"/>
      <c r="AP106" s="38"/>
    </row>
    <row r="107" spans="2:42" s="28" customFormat="1" ht="57.75" customHeight="1" x14ac:dyDescent="0.2">
      <c r="B107" s="29" t="s">
        <v>88</v>
      </c>
      <c r="C107" s="34" t="s">
        <v>89</v>
      </c>
      <c r="D107" s="34">
        <v>2220</v>
      </c>
      <c r="E107" s="32">
        <v>10700</v>
      </c>
      <c r="F107" s="32"/>
      <c r="G107" s="32">
        <f t="shared" si="2"/>
        <v>10700</v>
      </c>
      <c r="H107" s="44"/>
      <c r="I107" s="32"/>
      <c r="J107" s="32"/>
      <c r="K107" s="32"/>
      <c r="L107" s="32"/>
      <c r="M107" s="36"/>
      <c r="N107" s="32"/>
      <c r="O107" s="32"/>
      <c r="P107" s="32"/>
      <c r="Q107" s="32"/>
      <c r="R107" s="32"/>
      <c r="S107" s="32"/>
      <c r="T107" s="32"/>
      <c r="U107" s="32">
        <v>-6000</v>
      </c>
      <c r="V107" s="32"/>
      <c r="W107" s="32"/>
      <c r="X107" s="32"/>
      <c r="Y107" s="32"/>
      <c r="Z107" s="32"/>
      <c r="AA107" s="32">
        <f>4251.1+1492.65</f>
        <v>5743.75</v>
      </c>
      <c r="AB107" s="32"/>
      <c r="AC107" s="32"/>
      <c r="AD107" s="32"/>
      <c r="AE107" s="32"/>
      <c r="AF107" s="32"/>
      <c r="AG107" s="32" t="s">
        <v>288</v>
      </c>
      <c r="AH107" s="35">
        <v>10500</v>
      </c>
      <c r="AI107" s="32"/>
      <c r="AJ107" s="32"/>
      <c r="AK107" s="32"/>
      <c r="AL107" s="37"/>
      <c r="AO107" s="38"/>
      <c r="AP107" s="38"/>
    </row>
    <row r="108" spans="2:42" s="28" customFormat="1" ht="57.75" customHeight="1" x14ac:dyDescent="0.2">
      <c r="B108" s="29" t="s">
        <v>91</v>
      </c>
      <c r="C108" s="34" t="s">
        <v>92</v>
      </c>
      <c r="D108" s="34">
        <v>2220</v>
      </c>
      <c r="E108" s="32">
        <v>100</v>
      </c>
      <c r="F108" s="32"/>
      <c r="G108" s="32">
        <f t="shared" si="2"/>
        <v>100</v>
      </c>
      <c r="H108" s="44"/>
      <c r="I108" s="32"/>
      <c r="J108" s="32"/>
      <c r="K108" s="32"/>
      <c r="L108" s="32"/>
      <c r="M108" s="36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  <c r="AA108" s="32">
        <v>-100</v>
      </c>
      <c r="AB108" s="32"/>
      <c r="AC108" s="32"/>
      <c r="AD108" s="32"/>
      <c r="AE108" s="32"/>
      <c r="AF108" s="32"/>
      <c r="AG108" s="32" t="s">
        <v>289</v>
      </c>
      <c r="AH108" s="35">
        <v>300</v>
      </c>
      <c r="AI108" s="32"/>
      <c r="AJ108" s="32"/>
      <c r="AK108" s="32"/>
      <c r="AL108" s="37"/>
      <c r="AO108" s="38"/>
      <c r="AP108" s="38"/>
    </row>
    <row r="109" spans="2:42" s="28" customFormat="1" ht="57.75" customHeight="1" x14ac:dyDescent="0.2">
      <c r="B109" s="29" t="s">
        <v>290</v>
      </c>
      <c r="C109" s="34" t="s">
        <v>291</v>
      </c>
      <c r="D109" s="34">
        <v>2220</v>
      </c>
      <c r="E109" s="32">
        <v>56000</v>
      </c>
      <c r="F109" s="32"/>
      <c r="G109" s="32">
        <f t="shared" si="2"/>
        <v>56000</v>
      </c>
      <c r="H109" s="44"/>
      <c r="I109" s="32"/>
      <c r="J109" s="32"/>
      <c r="K109" s="32"/>
      <c r="L109" s="32"/>
      <c r="M109" s="36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  <c r="AA109" s="32">
        <v>16867.810000000001</v>
      </c>
      <c r="AB109" s="32"/>
      <c r="AC109" s="32"/>
      <c r="AD109" s="32"/>
      <c r="AE109" s="32"/>
      <c r="AF109" s="32"/>
      <c r="AG109" s="32" t="s">
        <v>292</v>
      </c>
      <c r="AH109" s="35">
        <v>70000</v>
      </c>
      <c r="AI109" s="32"/>
      <c r="AJ109" s="33"/>
      <c r="AK109" s="32"/>
      <c r="AL109" s="37"/>
      <c r="AO109" s="38"/>
      <c r="AP109" s="38"/>
    </row>
    <row r="110" spans="2:42" s="28" customFormat="1" ht="45" x14ac:dyDescent="0.2">
      <c r="B110" s="29" t="s">
        <v>293</v>
      </c>
      <c r="C110" s="34" t="s">
        <v>294</v>
      </c>
      <c r="D110" s="34">
        <v>2220</v>
      </c>
      <c r="E110" s="32">
        <v>8000</v>
      </c>
      <c r="F110" s="32"/>
      <c r="G110" s="32">
        <f t="shared" si="2"/>
        <v>8000</v>
      </c>
      <c r="H110" s="44"/>
      <c r="I110" s="32"/>
      <c r="J110" s="32"/>
      <c r="K110" s="32"/>
      <c r="L110" s="32"/>
      <c r="M110" s="36"/>
      <c r="N110" s="32"/>
      <c r="O110" s="32"/>
      <c r="P110" s="32"/>
      <c r="Q110" s="32"/>
      <c r="R110" s="32"/>
      <c r="S110" s="32"/>
      <c r="T110" s="32"/>
      <c r="U110" s="32">
        <v>1869.29</v>
      </c>
      <c r="V110" s="32"/>
      <c r="W110" s="32"/>
      <c r="X110" s="32"/>
      <c r="Y110" s="32"/>
      <c r="Z110" s="32"/>
      <c r="AA110" s="32">
        <v>16922.05</v>
      </c>
      <c r="AB110" s="32"/>
      <c r="AC110" s="32"/>
      <c r="AD110" s="32"/>
      <c r="AE110" s="32"/>
      <c r="AF110" s="32"/>
      <c r="AG110" s="32" t="s">
        <v>295</v>
      </c>
      <c r="AH110" s="35">
        <v>30000</v>
      </c>
      <c r="AI110" s="32"/>
      <c r="AJ110" s="32"/>
      <c r="AK110" s="32"/>
      <c r="AL110" s="37"/>
      <c r="AO110" s="38"/>
      <c r="AP110" s="38"/>
    </row>
    <row r="111" spans="2:42" s="28" customFormat="1" ht="64.5" customHeight="1" x14ac:dyDescent="0.2">
      <c r="B111" s="29" t="s">
        <v>296</v>
      </c>
      <c r="C111" s="34" t="s">
        <v>297</v>
      </c>
      <c r="D111" s="34">
        <v>2220</v>
      </c>
      <c r="E111" s="32">
        <v>24000</v>
      </c>
      <c r="F111" s="32"/>
      <c r="G111" s="32">
        <f t="shared" si="2"/>
        <v>24000</v>
      </c>
      <c r="H111" s="44"/>
      <c r="I111" s="32"/>
      <c r="J111" s="32"/>
      <c r="K111" s="32"/>
      <c r="L111" s="32"/>
      <c r="M111" s="36"/>
      <c r="N111" s="32"/>
      <c r="O111" s="32"/>
      <c r="P111" s="32"/>
      <c r="Q111" s="32"/>
      <c r="R111" s="32"/>
      <c r="S111" s="32"/>
      <c r="T111" s="32"/>
      <c r="U111" s="32">
        <v>-5254.85</v>
      </c>
      <c r="V111" s="32"/>
      <c r="W111" s="32"/>
      <c r="X111" s="32"/>
      <c r="Y111" s="32"/>
      <c r="Z111" s="32"/>
      <c r="AA111" s="32">
        <f>-4985.89+995.1</f>
        <v>-3990.7900000000004</v>
      </c>
      <c r="AB111" s="32"/>
      <c r="AC111" s="32"/>
      <c r="AD111" s="32"/>
      <c r="AE111" s="32"/>
      <c r="AF111" s="32"/>
      <c r="AG111" s="32" t="s">
        <v>298</v>
      </c>
      <c r="AH111" s="35">
        <v>15000</v>
      </c>
      <c r="AI111" s="32"/>
      <c r="AJ111" s="32"/>
      <c r="AK111" s="32"/>
      <c r="AL111" s="37"/>
      <c r="AO111" s="38"/>
      <c r="AP111" s="38"/>
    </row>
    <row r="112" spans="2:42" s="28" customFormat="1" ht="64.5" customHeight="1" x14ac:dyDescent="0.2">
      <c r="B112" s="29" t="s">
        <v>94</v>
      </c>
      <c r="C112" s="34" t="s">
        <v>95</v>
      </c>
      <c r="D112" s="34">
        <v>2220</v>
      </c>
      <c r="E112" s="32">
        <v>40000</v>
      </c>
      <c r="F112" s="32"/>
      <c r="G112" s="32">
        <f t="shared" si="2"/>
        <v>40000</v>
      </c>
      <c r="H112" s="44"/>
      <c r="I112" s="32"/>
      <c r="J112" s="32"/>
      <c r="K112" s="32"/>
      <c r="L112" s="32"/>
      <c r="M112" s="36"/>
      <c r="N112" s="32"/>
      <c r="O112" s="32"/>
      <c r="P112" s="32"/>
      <c r="Q112" s="32"/>
      <c r="R112" s="32"/>
      <c r="S112" s="32"/>
      <c r="T112" s="32"/>
      <c r="U112" s="32">
        <v>72.069999999999993</v>
      </c>
      <c r="V112" s="32"/>
      <c r="W112" s="32"/>
      <c r="X112" s="32"/>
      <c r="Y112" s="32"/>
      <c r="Z112" s="32"/>
      <c r="AA112" s="32">
        <v>2557.64</v>
      </c>
      <c r="AB112" s="32"/>
      <c r="AC112" s="32"/>
      <c r="AD112" s="32"/>
      <c r="AE112" s="32"/>
      <c r="AF112" s="32"/>
      <c r="AG112" s="32" t="s">
        <v>299</v>
      </c>
      <c r="AH112" s="35">
        <v>50000</v>
      </c>
      <c r="AI112" s="32"/>
      <c r="AJ112" s="32"/>
      <c r="AK112" s="32"/>
      <c r="AL112" s="37"/>
      <c r="AO112" s="38"/>
      <c r="AP112" s="38"/>
    </row>
    <row r="113" spans="2:42" s="28" customFormat="1" ht="30" x14ac:dyDescent="0.2">
      <c r="B113" s="29" t="s">
        <v>300</v>
      </c>
      <c r="C113" s="34" t="s">
        <v>301</v>
      </c>
      <c r="D113" s="34">
        <v>2220</v>
      </c>
      <c r="E113" s="32">
        <v>200</v>
      </c>
      <c r="F113" s="32"/>
      <c r="G113" s="32">
        <f t="shared" si="2"/>
        <v>200</v>
      </c>
      <c r="H113" s="44"/>
      <c r="I113" s="32"/>
      <c r="J113" s="32"/>
      <c r="K113" s="32"/>
      <c r="L113" s="32"/>
      <c r="M113" s="36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>
        <v>-200</v>
      </c>
      <c r="AB113" s="32"/>
      <c r="AC113" s="32"/>
      <c r="AD113" s="32"/>
      <c r="AE113" s="32"/>
      <c r="AF113" s="32"/>
      <c r="AG113" s="32" t="s">
        <v>302</v>
      </c>
      <c r="AH113" s="35">
        <v>100</v>
      </c>
      <c r="AI113" s="32"/>
      <c r="AJ113" s="32"/>
      <c r="AK113" s="32"/>
      <c r="AL113" s="37"/>
      <c r="AO113" s="38"/>
      <c r="AP113" s="38"/>
    </row>
    <row r="114" spans="2:42" s="28" customFormat="1" ht="30" x14ac:dyDescent="0.2">
      <c r="B114" s="29" t="s">
        <v>303</v>
      </c>
      <c r="C114" s="34" t="s">
        <v>304</v>
      </c>
      <c r="D114" s="34">
        <v>2220</v>
      </c>
      <c r="E114" s="32">
        <v>700</v>
      </c>
      <c r="F114" s="32"/>
      <c r="G114" s="32">
        <f t="shared" si="2"/>
        <v>700</v>
      </c>
      <c r="H114" s="44"/>
      <c r="I114" s="32"/>
      <c r="J114" s="32"/>
      <c r="K114" s="32"/>
      <c r="L114" s="32"/>
      <c r="M114" s="36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>
        <f>-253.81+254.66</f>
        <v>0.84999999999999432</v>
      </c>
      <c r="AB114" s="32"/>
      <c r="AC114" s="32"/>
      <c r="AD114" s="32"/>
      <c r="AE114" s="32"/>
      <c r="AF114" s="32"/>
      <c r="AG114" s="32" t="s">
        <v>305</v>
      </c>
      <c r="AH114" s="35">
        <v>700</v>
      </c>
      <c r="AI114" s="32"/>
      <c r="AJ114" s="32"/>
      <c r="AK114" s="32"/>
      <c r="AL114" s="37"/>
      <c r="AO114" s="38"/>
      <c r="AP114" s="38"/>
    </row>
    <row r="115" spans="2:42" s="28" customFormat="1" ht="60" x14ac:dyDescent="0.2">
      <c r="B115" s="29" t="s">
        <v>306</v>
      </c>
      <c r="C115" s="34" t="s">
        <v>307</v>
      </c>
      <c r="D115" s="34">
        <v>2220</v>
      </c>
      <c r="E115" s="32">
        <v>3000</v>
      </c>
      <c r="F115" s="32"/>
      <c r="G115" s="32">
        <f t="shared" si="2"/>
        <v>3000</v>
      </c>
      <c r="H115" s="44"/>
      <c r="I115" s="32"/>
      <c r="J115" s="32"/>
      <c r="K115" s="32"/>
      <c r="L115" s="32">
        <v>5050</v>
      </c>
      <c r="M115" s="36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 t="s">
        <v>308</v>
      </c>
      <c r="AH115" s="35">
        <v>11350</v>
      </c>
      <c r="AI115" s="32"/>
      <c r="AJ115" s="32"/>
      <c r="AK115" s="32"/>
      <c r="AL115" s="37"/>
      <c r="AO115" s="38"/>
      <c r="AP115" s="38"/>
    </row>
    <row r="116" spans="2:42" s="28" customFormat="1" ht="91.5" customHeight="1" x14ac:dyDescent="0.2">
      <c r="B116" s="29" t="s">
        <v>309</v>
      </c>
      <c r="C116" s="34" t="s">
        <v>310</v>
      </c>
      <c r="D116" s="34">
        <v>2220</v>
      </c>
      <c r="E116" s="32">
        <v>2000</v>
      </c>
      <c r="F116" s="32"/>
      <c r="G116" s="32">
        <f t="shared" si="2"/>
        <v>2000</v>
      </c>
      <c r="H116" s="44"/>
      <c r="I116" s="32"/>
      <c r="J116" s="32"/>
      <c r="K116" s="32"/>
      <c r="L116" s="32">
        <v>20688.7</v>
      </c>
      <c r="M116" s="36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>
        <v>6831</v>
      </c>
      <c r="Z116" s="32"/>
      <c r="AA116" s="32"/>
      <c r="AB116" s="32"/>
      <c r="AC116" s="32"/>
      <c r="AD116" s="32"/>
      <c r="AE116" s="32"/>
      <c r="AF116" s="32"/>
      <c r="AG116" s="32" t="s">
        <v>311</v>
      </c>
      <c r="AH116" s="35">
        <v>35238.160000000003</v>
      </c>
      <c r="AI116" s="32"/>
      <c r="AJ116" s="32"/>
      <c r="AK116" s="32"/>
      <c r="AL116" s="37"/>
      <c r="AO116" s="38"/>
      <c r="AP116" s="38"/>
    </row>
    <row r="117" spans="2:42" s="28" customFormat="1" ht="57.75" customHeight="1" x14ac:dyDescent="0.2">
      <c r="B117" s="29" t="s">
        <v>312</v>
      </c>
      <c r="C117" s="34" t="s">
        <v>313</v>
      </c>
      <c r="D117" s="34">
        <v>2220</v>
      </c>
      <c r="E117" s="32">
        <v>2000</v>
      </c>
      <c r="F117" s="32"/>
      <c r="G117" s="32">
        <f t="shared" si="2"/>
        <v>2000</v>
      </c>
      <c r="H117" s="44"/>
      <c r="I117" s="32"/>
      <c r="J117" s="32"/>
      <c r="K117" s="32"/>
      <c r="L117" s="32"/>
      <c r="M117" s="36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>
        <v>6926</v>
      </c>
      <c r="AB117" s="32"/>
      <c r="AC117" s="32"/>
      <c r="AD117" s="32"/>
      <c r="AE117" s="32"/>
      <c r="AF117" s="32"/>
      <c r="AG117" s="32" t="s">
        <v>314</v>
      </c>
      <c r="AH117" s="35">
        <v>8000</v>
      </c>
      <c r="AI117" s="32"/>
      <c r="AJ117" s="32"/>
      <c r="AK117" s="32"/>
      <c r="AL117" s="37"/>
      <c r="AO117" s="38"/>
      <c r="AP117" s="38"/>
    </row>
    <row r="118" spans="2:42" s="28" customFormat="1" ht="63.75" customHeight="1" x14ac:dyDescent="0.2">
      <c r="B118" s="29" t="s">
        <v>315</v>
      </c>
      <c r="C118" s="34" t="s">
        <v>113</v>
      </c>
      <c r="D118" s="34">
        <v>2220</v>
      </c>
      <c r="E118" s="32">
        <v>60000</v>
      </c>
      <c r="F118" s="32"/>
      <c r="G118" s="32">
        <f t="shared" si="2"/>
        <v>60000</v>
      </c>
      <c r="H118" s="44"/>
      <c r="I118" s="32"/>
      <c r="J118" s="32"/>
      <c r="K118" s="32"/>
      <c r="L118" s="32"/>
      <c r="M118" s="32">
        <v>16000</v>
      </c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>
        <v>-28288.799999999999</v>
      </c>
      <c r="Z118" s="32"/>
      <c r="AA118" s="32">
        <f>-20542.04+3299.99</f>
        <v>-17242.050000000003</v>
      </c>
      <c r="AB118" s="32"/>
      <c r="AC118" s="32"/>
      <c r="AD118" s="32"/>
      <c r="AE118" s="32"/>
      <c r="AF118" s="32"/>
      <c r="AG118" s="32" t="s">
        <v>316</v>
      </c>
      <c r="AH118" s="35">
        <f>80000-4000</f>
        <v>76000</v>
      </c>
      <c r="AI118" s="32"/>
      <c r="AJ118" s="32"/>
      <c r="AK118" s="32"/>
      <c r="AL118" s="37"/>
      <c r="AO118" s="38"/>
      <c r="AP118" s="38"/>
    </row>
    <row r="119" spans="2:42" s="28" customFormat="1" ht="30" x14ac:dyDescent="0.2">
      <c r="B119" s="29" t="s">
        <v>317</v>
      </c>
      <c r="C119" s="34" t="s">
        <v>318</v>
      </c>
      <c r="D119" s="34">
        <v>2220</v>
      </c>
      <c r="E119" s="32">
        <v>2000</v>
      </c>
      <c r="F119" s="32"/>
      <c r="G119" s="32">
        <f t="shared" si="2"/>
        <v>2000</v>
      </c>
      <c r="H119" s="44"/>
      <c r="I119" s="32"/>
      <c r="J119" s="32"/>
      <c r="K119" s="32"/>
      <c r="L119" s="32"/>
      <c r="M119" s="36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>
        <v>-1126.9100000000001</v>
      </c>
      <c r="AB119" s="32"/>
      <c r="AC119" s="32"/>
      <c r="AD119" s="32"/>
      <c r="AE119" s="32"/>
      <c r="AF119" s="32"/>
      <c r="AG119" s="32" t="s">
        <v>222</v>
      </c>
      <c r="AH119" s="35">
        <f>1000+4000</f>
        <v>5000</v>
      </c>
      <c r="AI119" s="32"/>
      <c r="AJ119" s="32"/>
      <c r="AK119" s="32"/>
      <c r="AL119" s="37"/>
      <c r="AO119" s="38"/>
      <c r="AP119" s="38"/>
    </row>
    <row r="120" spans="2:42" s="28" customFormat="1" ht="60" x14ac:dyDescent="0.2">
      <c r="B120" s="29" t="s">
        <v>319</v>
      </c>
      <c r="C120" s="34" t="s">
        <v>320</v>
      </c>
      <c r="D120" s="34">
        <v>2220</v>
      </c>
      <c r="E120" s="32">
        <v>65000</v>
      </c>
      <c r="F120" s="32"/>
      <c r="G120" s="32">
        <f t="shared" si="2"/>
        <v>65000</v>
      </c>
      <c r="H120" s="44"/>
      <c r="I120" s="32"/>
      <c r="J120" s="32">
        <v>-2846</v>
      </c>
      <c r="K120" s="32"/>
      <c r="L120" s="32"/>
      <c r="M120" s="36"/>
      <c r="N120" s="32"/>
      <c r="O120" s="32"/>
      <c r="P120" s="32"/>
      <c r="Q120" s="32"/>
      <c r="R120" s="32"/>
      <c r="S120" s="39" t="s">
        <v>321</v>
      </c>
      <c r="T120" s="32"/>
      <c r="U120" s="32">
        <v>14516.65</v>
      </c>
      <c r="V120" s="32"/>
      <c r="W120" s="32"/>
      <c r="X120" s="32"/>
      <c r="Y120" s="32"/>
      <c r="Z120" s="32"/>
      <c r="AA120" s="32">
        <f>-0.33-10.23-642.02</f>
        <v>-652.57999999999993</v>
      </c>
      <c r="AB120" s="32"/>
      <c r="AC120" s="32"/>
      <c r="AD120" s="32"/>
      <c r="AE120" s="32"/>
      <c r="AF120" s="32"/>
      <c r="AG120" s="32" t="s">
        <v>295</v>
      </c>
      <c r="AH120" s="35">
        <v>30000</v>
      </c>
      <c r="AI120" s="32"/>
      <c r="AJ120" s="32"/>
      <c r="AK120" s="32"/>
      <c r="AL120" s="37"/>
      <c r="AO120" s="38"/>
      <c r="AP120" s="38"/>
    </row>
    <row r="121" spans="2:42" s="28" customFormat="1" ht="120" x14ac:dyDescent="0.2">
      <c r="B121" s="29" t="s">
        <v>322</v>
      </c>
      <c r="C121" s="34" t="s">
        <v>323</v>
      </c>
      <c r="D121" s="34">
        <v>2220</v>
      </c>
      <c r="E121" s="32">
        <v>10200</v>
      </c>
      <c r="F121" s="32"/>
      <c r="G121" s="32">
        <f t="shared" si="2"/>
        <v>10200</v>
      </c>
      <c r="H121" s="44"/>
      <c r="I121" s="32"/>
      <c r="J121" s="32">
        <v>470</v>
      </c>
      <c r="K121" s="32"/>
      <c r="L121" s="32"/>
      <c r="M121" s="36"/>
      <c r="N121" s="32"/>
      <c r="O121" s="32"/>
      <c r="P121" s="32"/>
      <c r="Q121" s="32"/>
      <c r="R121" s="32"/>
      <c r="S121" s="39" t="s">
        <v>324</v>
      </c>
      <c r="T121" s="32"/>
      <c r="U121" s="32">
        <v>8665.98</v>
      </c>
      <c r="V121" s="32"/>
      <c r="W121" s="32"/>
      <c r="X121" s="32"/>
      <c r="Y121" s="32"/>
      <c r="Z121" s="32"/>
      <c r="AA121" s="32">
        <f>244.76-0.45</f>
        <v>244.31</v>
      </c>
      <c r="AB121" s="32"/>
      <c r="AC121" s="32"/>
      <c r="AD121" s="32"/>
      <c r="AE121" s="32"/>
      <c r="AF121" s="32"/>
      <c r="AG121" s="47" t="s">
        <v>325</v>
      </c>
      <c r="AH121" s="35">
        <v>15000</v>
      </c>
      <c r="AI121" s="32"/>
      <c r="AJ121" s="32"/>
      <c r="AK121" s="32"/>
      <c r="AL121" s="37"/>
      <c r="AO121" s="38"/>
      <c r="AP121" s="38"/>
    </row>
    <row r="122" spans="2:42" s="28" customFormat="1" ht="45" x14ac:dyDescent="0.2">
      <c r="B122" s="29" t="s">
        <v>326</v>
      </c>
      <c r="C122" s="34" t="s">
        <v>327</v>
      </c>
      <c r="D122" s="34">
        <v>2220</v>
      </c>
      <c r="E122" s="32">
        <v>1500</v>
      </c>
      <c r="F122" s="32"/>
      <c r="G122" s="32">
        <f t="shared" si="2"/>
        <v>1500</v>
      </c>
      <c r="H122" s="44"/>
      <c r="I122" s="32"/>
      <c r="J122" s="32">
        <v>2376</v>
      </c>
      <c r="K122" s="32"/>
      <c r="L122" s="32"/>
      <c r="M122" s="36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>
        <f>-680.38-6.94</f>
        <v>-687.32</v>
      </c>
      <c r="AB122" s="32"/>
      <c r="AC122" s="32"/>
      <c r="AD122" s="32"/>
      <c r="AE122" s="32"/>
      <c r="AF122" s="32"/>
      <c r="AG122" s="47" t="s">
        <v>328</v>
      </c>
      <c r="AH122" s="35">
        <v>3200</v>
      </c>
      <c r="AI122" s="32"/>
      <c r="AJ122" s="32"/>
      <c r="AK122" s="32"/>
      <c r="AL122" s="37"/>
      <c r="AO122" s="38"/>
      <c r="AP122" s="38"/>
    </row>
    <row r="123" spans="2:42" s="28" customFormat="1" ht="45" x14ac:dyDescent="0.2">
      <c r="B123" s="29" t="s">
        <v>329</v>
      </c>
      <c r="C123" s="34" t="s">
        <v>330</v>
      </c>
      <c r="D123" s="34">
        <v>2220</v>
      </c>
      <c r="E123" s="32">
        <v>99800</v>
      </c>
      <c r="F123" s="39"/>
      <c r="G123" s="32">
        <f t="shared" si="2"/>
        <v>99800</v>
      </c>
      <c r="H123" s="44"/>
      <c r="I123" s="32"/>
      <c r="J123" s="32"/>
      <c r="K123" s="32"/>
      <c r="L123" s="32"/>
      <c r="M123" s="32">
        <f>-16000+6446.7</f>
        <v>-9553.2999999999993</v>
      </c>
      <c r="N123" s="32">
        <v>-1542</v>
      </c>
      <c r="O123" s="32">
        <v>-1474</v>
      </c>
      <c r="P123" s="32"/>
      <c r="Q123" s="32"/>
      <c r="R123" s="32"/>
      <c r="S123" s="39" t="s">
        <v>331</v>
      </c>
      <c r="T123" s="46">
        <v>1139.44</v>
      </c>
      <c r="U123" s="46">
        <v>3708.14</v>
      </c>
      <c r="V123" s="39"/>
      <c r="W123" s="39"/>
      <c r="X123" s="32"/>
      <c r="Y123" s="32"/>
      <c r="Z123" s="32"/>
      <c r="AA123" s="32">
        <f>-7460.92-3.93+1003.75+6456.7</f>
        <v>-4.4000000000005457</v>
      </c>
      <c r="AB123" s="32"/>
      <c r="AC123" s="32"/>
      <c r="AD123" s="32"/>
      <c r="AE123" s="32"/>
      <c r="AF123" s="32"/>
      <c r="AG123" s="47" t="s">
        <v>332</v>
      </c>
      <c r="AH123" s="35">
        <v>45000</v>
      </c>
      <c r="AI123" s="32"/>
      <c r="AJ123" s="32"/>
      <c r="AK123" s="32"/>
      <c r="AL123" s="37"/>
      <c r="AO123" s="52"/>
      <c r="AP123" s="38"/>
    </row>
    <row r="124" spans="2:42" s="28" customFormat="1" ht="45" x14ac:dyDescent="0.2">
      <c r="B124" s="29" t="s">
        <v>117</v>
      </c>
      <c r="C124" s="34" t="s">
        <v>118</v>
      </c>
      <c r="D124" s="34">
        <v>2220</v>
      </c>
      <c r="E124" s="32">
        <v>36000</v>
      </c>
      <c r="F124" s="32"/>
      <c r="G124" s="32">
        <f t="shared" si="2"/>
        <v>36000</v>
      </c>
      <c r="H124" s="44"/>
      <c r="I124" s="41">
        <v>28293.200000000001</v>
      </c>
      <c r="J124" s="32"/>
      <c r="K124" s="32"/>
      <c r="L124" s="32"/>
      <c r="M124" s="36"/>
      <c r="N124" s="32"/>
      <c r="O124" s="39" t="s">
        <v>333</v>
      </c>
      <c r="P124" s="32"/>
      <c r="Q124" s="32"/>
      <c r="R124" s="39" t="s">
        <v>334</v>
      </c>
      <c r="S124" s="32"/>
      <c r="T124" s="32"/>
      <c r="U124" s="32">
        <v>4522.57</v>
      </c>
      <c r="V124" s="32"/>
      <c r="W124" s="32"/>
      <c r="X124" s="39" t="s">
        <v>335</v>
      </c>
      <c r="Y124" s="32"/>
      <c r="Z124" s="32"/>
      <c r="AA124" s="32">
        <f>-53971.77+769.44-1007.44+53971.22</f>
        <v>-238.54999999999563</v>
      </c>
      <c r="AB124" s="32"/>
      <c r="AC124" s="32"/>
      <c r="AD124" s="32"/>
      <c r="AE124" s="32"/>
      <c r="AF124" s="32"/>
      <c r="AG124" s="47" t="s">
        <v>336</v>
      </c>
      <c r="AH124" s="35">
        <v>35000</v>
      </c>
      <c r="AI124" s="32"/>
      <c r="AJ124" s="32"/>
      <c r="AK124" s="32"/>
      <c r="AL124" s="37"/>
      <c r="AO124" s="52"/>
      <c r="AP124" s="38"/>
    </row>
    <row r="125" spans="2:42" s="53" customFormat="1" ht="45" x14ac:dyDescent="0.25">
      <c r="B125" s="29" t="s">
        <v>337</v>
      </c>
      <c r="C125" s="34" t="s">
        <v>338</v>
      </c>
      <c r="D125" s="34">
        <v>2220</v>
      </c>
      <c r="E125" s="32">
        <v>92000</v>
      </c>
      <c r="F125" s="32"/>
      <c r="G125" s="32">
        <f t="shared" si="2"/>
        <v>92000</v>
      </c>
      <c r="H125" s="44"/>
      <c r="I125" s="32"/>
      <c r="J125" s="32"/>
      <c r="K125" s="32"/>
      <c r="L125" s="32"/>
      <c r="M125" s="36"/>
      <c r="N125" s="32"/>
      <c r="O125" s="32"/>
      <c r="P125" s="32"/>
      <c r="Q125" s="32"/>
      <c r="R125" s="32"/>
      <c r="S125" s="32"/>
      <c r="T125" s="46">
        <f>714.23-714.23</f>
        <v>0</v>
      </c>
      <c r="U125" s="32">
        <v>7900.15</v>
      </c>
      <c r="V125" s="32"/>
      <c r="W125" s="32"/>
      <c r="X125" s="32"/>
      <c r="Y125" s="32"/>
      <c r="Z125" s="32"/>
      <c r="AA125" s="32">
        <f>-716.4-1.44+714.23</f>
        <v>-3.6100000000000136</v>
      </c>
      <c r="AB125" s="32"/>
      <c r="AC125" s="32"/>
      <c r="AD125" s="35"/>
      <c r="AE125" s="32"/>
      <c r="AF125" s="32"/>
      <c r="AG125" s="47" t="s">
        <v>339</v>
      </c>
      <c r="AH125" s="35">
        <v>60000</v>
      </c>
      <c r="AI125" s="32"/>
      <c r="AJ125" s="32"/>
      <c r="AK125" s="32"/>
      <c r="AL125" s="37"/>
      <c r="AO125" s="52"/>
      <c r="AP125" s="54"/>
    </row>
    <row r="126" spans="2:42" s="28" customFormat="1" ht="45" x14ac:dyDescent="0.2">
      <c r="B126" s="29" t="s">
        <v>340</v>
      </c>
      <c r="C126" s="34" t="s">
        <v>121</v>
      </c>
      <c r="D126" s="34">
        <v>2220</v>
      </c>
      <c r="E126" s="32">
        <v>45000</v>
      </c>
      <c r="F126" s="32"/>
      <c r="G126" s="32">
        <f t="shared" si="2"/>
        <v>45000</v>
      </c>
      <c r="H126" s="44"/>
      <c r="I126" s="32"/>
      <c r="J126" s="32"/>
      <c r="K126" s="32"/>
      <c r="L126" s="32"/>
      <c r="M126" s="36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>
        <v>-10911.91</v>
      </c>
      <c r="AB126" s="32"/>
      <c r="AC126" s="32"/>
      <c r="AD126" s="32"/>
      <c r="AE126" s="32"/>
      <c r="AF126" s="32"/>
      <c r="AG126" s="47" t="s">
        <v>341</v>
      </c>
      <c r="AH126" s="35">
        <v>40000</v>
      </c>
      <c r="AI126" s="32"/>
      <c r="AJ126" s="32"/>
      <c r="AK126" s="32"/>
      <c r="AL126" s="37"/>
      <c r="AO126" s="38"/>
      <c r="AP126" s="38"/>
    </row>
    <row r="127" spans="2:42" s="28" customFormat="1" ht="69.75" customHeight="1" x14ac:dyDescent="0.2">
      <c r="B127" s="29" t="s">
        <v>342</v>
      </c>
      <c r="C127" s="34" t="s">
        <v>343</v>
      </c>
      <c r="D127" s="34">
        <v>2220</v>
      </c>
      <c r="E127" s="32"/>
      <c r="F127" s="32"/>
      <c r="G127" s="32"/>
      <c r="H127" s="44"/>
      <c r="I127" s="32"/>
      <c r="J127" s="32"/>
      <c r="K127" s="32"/>
      <c r="L127" s="32">
        <v>2775</v>
      </c>
      <c r="M127" s="36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  <c r="AF127" s="32"/>
      <c r="AG127" s="47" t="s">
        <v>344</v>
      </c>
      <c r="AH127" s="35">
        <v>5392</v>
      </c>
      <c r="AI127" s="32"/>
      <c r="AJ127" s="32"/>
      <c r="AK127" s="32"/>
      <c r="AL127" s="37"/>
      <c r="AO127" s="38"/>
      <c r="AP127" s="38"/>
    </row>
    <row r="128" spans="2:42" s="28" customFormat="1" ht="82.5" customHeight="1" x14ac:dyDescent="0.2">
      <c r="B128" s="29" t="s">
        <v>129</v>
      </c>
      <c r="C128" s="34" t="s">
        <v>130</v>
      </c>
      <c r="D128" s="34">
        <v>2220</v>
      </c>
      <c r="E128" s="32">
        <v>30000</v>
      </c>
      <c r="F128" s="32"/>
      <c r="G128" s="32">
        <f t="shared" si="2"/>
        <v>30000</v>
      </c>
      <c r="H128" s="44"/>
      <c r="I128" s="32"/>
      <c r="J128" s="32"/>
      <c r="K128" s="32"/>
      <c r="L128" s="32">
        <v>-220</v>
      </c>
      <c r="M128" s="36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  <c r="AA128" s="32">
        <f>205.44-216.61</f>
        <v>-11.170000000000016</v>
      </c>
      <c r="AB128" s="32"/>
      <c r="AC128" s="32"/>
      <c r="AD128" s="32"/>
      <c r="AE128" s="32"/>
      <c r="AF128" s="32"/>
      <c r="AG128" s="47" t="s">
        <v>345</v>
      </c>
      <c r="AH128" s="35">
        <v>70874.84</v>
      </c>
      <c r="AI128" s="32"/>
      <c r="AJ128" s="32"/>
      <c r="AK128" s="32"/>
      <c r="AL128" s="37"/>
      <c r="AO128" s="38"/>
      <c r="AP128" s="38"/>
    </row>
    <row r="129" spans="2:42" s="28" customFormat="1" ht="44.25" customHeight="1" x14ac:dyDescent="0.2">
      <c r="B129" s="29" t="s">
        <v>346</v>
      </c>
      <c r="C129" s="34" t="s">
        <v>347</v>
      </c>
      <c r="D129" s="34">
        <v>2220</v>
      </c>
      <c r="E129" s="32"/>
      <c r="F129" s="32"/>
      <c r="G129" s="32"/>
      <c r="H129" s="44"/>
      <c r="I129" s="32"/>
      <c r="J129" s="32"/>
      <c r="K129" s="32"/>
      <c r="L129" s="32"/>
      <c r="M129" s="36"/>
      <c r="N129" s="32"/>
      <c r="O129" s="32">
        <v>874</v>
      </c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  <c r="AA129" s="32"/>
      <c r="AB129" s="32"/>
      <c r="AC129" s="32"/>
      <c r="AD129" s="32"/>
      <c r="AE129" s="32"/>
      <c r="AF129" s="32"/>
      <c r="AG129" s="47" t="s">
        <v>177</v>
      </c>
      <c r="AH129" s="35">
        <v>1000</v>
      </c>
      <c r="AI129" s="32"/>
      <c r="AJ129" s="32"/>
      <c r="AK129" s="32"/>
      <c r="AL129" s="37"/>
      <c r="AO129" s="38"/>
      <c r="AP129" s="38"/>
    </row>
    <row r="130" spans="2:42" s="28" customFormat="1" ht="36.75" customHeight="1" x14ac:dyDescent="0.2">
      <c r="B130" s="29" t="s">
        <v>143</v>
      </c>
      <c r="C130" s="47" t="s">
        <v>144</v>
      </c>
      <c r="D130" s="34">
        <v>2220</v>
      </c>
      <c r="E130" s="32">
        <v>5000</v>
      </c>
      <c r="F130" s="32"/>
      <c r="G130" s="32">
        <f t="shared" si="2"/>
        <v>5000</v>
      </c>
      <c r="H130" s="44"/>
      <c r="I130" s="32"/>
      <c r="J130" s="32"/>
      <c r="K130" s="32"/>
      <c r="L130" s="33"/>
      <c r="M130" s="36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  <c r="AA130" s="32">
        <v>-4689.7</v>
      </c>
      <c r="AB130" s="32"/>
      <c r="AC130" s="32"/>
      <c r="AD130" s="32"/>
      <c r="AE130" s="32"/>
      <c r="AF130" s="32"/>
      <c r="AG130" s="47" t="s">
        <v>289</v>
      </c>
      <c r="AH130" s="35">
        <v>300</v>
      </c>
      <c r="AI130" s="32"/>
      <c r="AJ130" s="32"/>
      <c r="AK130" s="32"/>
      <c r="AL130" s="37"/>
      <c r="AO130" s="38"/>
      <c r="AP130" s="38"/>
    </row>
    <row r="131" spans="2:42" s="28" customFormat="1" ht="45.75" customHeight="1" x14ac:dyDescent="0.2">
      <c r="B131" s="29" t="s">
        <v>146</v>
      </c>
      <c r="C131" s="47" t="s">
        <v>147</v>
      </c>
      <c r="D131" s="34">
        <v>2220</v>
      </c>
      <c r="E131" s="32">
        <v>2000</v>
      </c>
      <c r="F131" s="32"/>
      <c r="G131" s="32">
        <f t="shared" si="2"/>
        <v>2000</v>
      </c>
      <c r="H131" s="44"/>
      <c r="I131" s="32"/>
      <c r="J131" s="32"/>
      <c r="K131" s="32"/>
      <c r="L131" s="32"/>
      <c r="M131" s="36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  <c r="AA131" s="32">
        <v>-2000</v>
      </c>
      <c r="AB131" s="32"/>
      <c r="AC131" s="32"/>
      <c r="AD131" s="32"/>
      <c r="AE131" s="32"/>
      <c r="AF131" s="32"/>
      <c r="AG131" s="47" t="s">
        <v>177</v>
      </c>
      <c r="AH131" s="35">
        <v>1000</v>
      </c>
      <c r="AI131" s="32"/>
      <c r="AJ131" s="32"/>
      <c r="AK131" s="32"/>
      <c r="AL131" s="37"/>
      <c r="AO131" s="38"/>
      <c r="AP131" s="38"/>
    </row>
    <row r="132" spans="2:42" s="28" customFormat="1" ht="58.5" customHeight="1" x14ac:dyDescent="0.2">
      <c r="B132" s="29" t="s">
        <v>348</v>
      </c>
      <c r="C132" s="47" t="s">
        <v>349</v>
      </c>
      <c r="D132" s="34">
        <v>2220</v>
      </c>
      <c r="E132" s="32">
        <v>1000</v>
      </c>
      <c r="F132" s="39"/>
      <c r="G132" s="32">
        <f t="shared" si="2"/>
        <v>1000</v>
      </c>
      <c r="H132" s="40"/>
      <c r="I132" s="33"/>
      <c r="J132" s="33"/>
      <c r="K132" s="33"/>
      <c r="L132" s="33">
        <v>483.02</v>
      </c>
      <c r="M132" s="36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  <c r="AA132" s="32">
        <v>-514.44000000000005</v>
      </c>
      <c r="AB132" s="32"/>
      <c r="AC132" s="32"/>
      <c r="AD132" s="32"/>
      <c r="AE132" s="32"/>
      <c r="AF132" s="32"/>
      <c r="AG132" s="47" t="s">
        <v>350</v>
      </c>
      <c r="AH132" s="35">
        <v>3740</v>
      </c>
      <c r="AI132" s="32"/>
      <c r="AJ132" s="32"/>
      <c r="AK132" s="32"/>
      <c r="AL132" s="37"/>
      <c r="AO132" s="38"/>
      <c r="AP132" s="38"/>
    </row>
    <row r="133" spans="2:42" s="28" customFormat="1" ht="52.5" customHeight="1" x14ac:dyDescent="0.2">
      <c r="B133" s="29" t="s">
        <v>252</v>
      </c>
      <c r="C133" s="47" t="s">
        <v>253</v>
      </c>
      <c r="D133" s="34">
        <v>2220</v>
      </c>
      <c r="E133" s="32">
        <v>50000</v>
      </c>
      <c r="F133" s="32"/>
      <c r="G133" s="32">
        <f t="shared" si="2"/>
        <v>50000</v>
      </c>
      <c r="H133" s="44"/>
      <c r="I133" s="32"/>
      <c r="J133" s="32"/>
      <c r="K133" s="32"/>
      <c r="L133" s="32">
        <v>-13038.02</v>
      </c>
      <c r="M133" s="36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  <c r="AA133" s="32">
        <v>-1914.75</v>
      </c>
      <c r="AB133" s="32"/>
      <c r="AC133" s="32"/>
      <c r="AD133" s="32"/>
      <c r="AE133" s="32"/>
      <c r="AF133" s="32"/>
      <c r="AG133" s="47" t="s">
        <v>351</v>
      </c>
      <c r="AH133" s="35">
        <v>50000</v>
      </c>
      <c r="AI133" s="32"/>
      <c r="AJ133" s="32"/>
      <c r="AK133" s="32"/>
      <c r="AL133" s="37"/>
      <c r="AO133" s="38"/>
      <c r="AP133" s="38"/>
    </row>
    <row r="134" spans="2:42" s="28" customFormat="1" ht="43.5" customHeight="1" x14ac:dyDescent="0.2">
      <c r="B134" s="29" t="s">
        <v>352</v>
      </c>
      <c r="C134" s="47" t="s">
        <v>353</v>
      </c>
      <c r="D134" s="34">
        <v>2220</v>
      </c>
      <c r="E134" s="32"/>
      <c r="F134" s="32"/>
      <c r="G134" s="32"/>
      <c r="H134" s="44"/>
      <c r="I134" s="32"/>
      <c r="J134" s="32"/>
      <c r="K134" s="32"/>
      <c r="L134" s="32"/>
      <c r="M134" s="36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  <c r="AA134" s="32"/>
      <c r="AB134" s="32"/>
      <c r="AC134" s="32"/>
      <c r="AD134" s="32"/>
      <c r="AE134" s="32"/>
      <c r="AF134" s="32"/>
      <c r="AG134" s="47" t="s">
        <v>354</v>
      </c>
      <c r="AH134" s="35">
        <v>1000</v>
      </c>
      <c r="AI134" s="32"/>
      <c r="AJ134" s="32"/>
      <c r="AK134" s="32"/>
      <c r="AL134" s="37"/>
      <c r="AO134" s="38"/>
      <c r="AP134" s="38"/>
    </row>
    <row r="135" spans="2:42" s="28" customFormat="1" ht="79.5" customHeight="1" x14ac:dyDescent="0.2">
      <c r="B135" s="48" t="s">
        <v>355</v>
      </c>
      <c r="C135" s="32"/>
      <c r="D135" s="34"/>
      <c r="E135" s="41">
        <f t="shared" ref="E135:AA135" si="3">SUM(E101:E133)</f>
        <v>765000</v>
      </c>
      <c r="F135" s="41">
        <f t="shared" si="3"/>
        <v>0</v>
      </c>
      <c r="G135" s="41">
        <f t="shared" si="3"/>
        <v>765000</v>
      </c>
      <c r="H135" s="41">
        <f t="shared" si="3"/>
        <v>0</v>
      </c>
      <c r="I135" s="41">
        <f t="shared" si="3"/>
        <v>28293.200000000001</v>
      </c>
      <c r="J135" s="41">
        <f t="shared" si="3"/>
        <v>0</v>
      </c>
      <c r="K135" s="41">
        <f t="shared" si="3"/>
        <v>0</v>
      </c>
      <c r="L135" s="41">
        <f t="shared" si="3"/>
        <v>0</v>
      </c>
      <c r="M135" s="41">
        <f t="shared" si="3"/>
        <v>6446.7000000000007</v>
      </c>
      <c r="N135" s="41">
        <f t="shared" si="3"/>
        <v>0</v>
      </c>
      <c r="O135" s="41">
        <f t="shared" si="3"/>
        <v>0</v>
      </c>
      <c r="P135" s="41">
        <f t="shared" si="3"/>
        <v>0</v>
      </c>
      <c r="Q135" s="41">
        <f t="shared" si="3"/>
        <v>0</v>
      </c>
      <c r="R135" s="41">
        <f t="shared" si="3"/>
        <v>0</v>
      </c>
      <c r="S135" s="41">
        <f t="shared" si="3"/>
        <v>0</v>
      </c>
      <c r="T135" s="41">
        <f t="shared" si="3"/>
        <v>1139.44</v>
      </c>
      <c r="U135" s="41">
        <f t="shared" si="3"/>
        <v>30000</v>
      </c>
      <c r="V135" s="41">
        <f t="shared" si="3"/>
        <v>0</v>
      </c>
      <c r="W135" s="41">
        <f t="shared" si="3"/>
        <v>0</v>
      </c>
      <c r="X135" s="41">
        <f t="shared" si="3"/>
        <v>0</v>
      </c>
      <c r="Y135" s="41">
        <f t="shared" si="3"/>
        <v>0</v>
      </c>
      <c r="Z135" s="41">
        <f t="shared" si="3"/>
        <v>0</v>
      </c>
      <c r="AA135" s="41">
        <f t="shared" si="3"/>
        <v>13743.569999999987</v>
      </c>
      <c r="AB135" s="32"/>
      <c r="AC135" s="32"/>
      <c r="AD135" s="32"/>
      <c r="AE135" s="32"/>
      <c r="AF135" s="32"/>
      <c r="AG135" s="55" t="s">
        <v>356</v>
      </c>
      <c r="AH135" s="49">
        <f>SUM(AH101:AH134)</f>
        <v>806000</v>
      </c>
      <c r="AI135" s="41"/>
      <c r="AJ135" s="41"/>
      <c r="AK135" s="32"/>
      <c r="AL135" s="37"/>
      <c r="AN135" s="52"/>
      <c r="AO135" s="38"/>
      <c r="AP135" s="38"/>
    </row>
    <row r="136" spans="2:42" s="28" customFormat="1" ht="60" x14ac:dyDescent="0.2">
      <c r="B136" s="29" t="s">
        <v>357</v>
      </c>
      <c r="C136" s="34" t="s">
        <v>358</v>
      </c>
      <c r="D136" s="34">
        <v>2230</v>
      </c>
      <c r="E136" s="32">
        <f>2.75*1800+4000*3.9</f>
        <v>20550</v>
      </c>
      <c r="F136" s="32"/>
      <c r="G136" s="32">
        <f>E136+F136</f>
        <v>20550</v>
      </c>
      <c r="H136" s="44"/>
      <c r="I136" s="32"/>
      <c r="J136" s="32"/>
      <c r="K136" s="32"/>
      <c r="L136" s="33"/>
      <c r="M136" s="33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>
        <v>283.63</v>
      </c>
      <c r="Z136" s="32"/>
      <c r="AA136" s="32"/>
      <c r="AB136" s="32"/>
      <c r="AC136" s="32"/>
      <c r="AD136" s="32"/>
      <c r="AE136" s="32"/>
      <c r="AF136" s="32"/>
      <c r="AG136" s="47" t="s">
        <v>359</v>
      </c>
      <c r="AH136" s="35">
        <f>21114+3837.64</f>
        <v>24951.64</v>
      </c>
      <c r="AI136" s="32"/>
      <c r="AJ136" s="32">
        <f>21114+3837.64</f>
        <v>24951.64</v>
      </c>
      <c r="AK136" s="32"/>
      <c r="AL136" s="37"/>
      <c r="AN136" s="56"/>
      <c r="AO136" s="38"/>
      <c r="AP136" s="38"/>
    </row>
    <row r="137" spans="2:42" s="28" customFormat="1" ht="60" x14ac:dyDescent="0.2">
      <c r="B137" s="29" t="s">
        <v>360</v>
      </c>
      <c r="C137" s="34" t="s">
        <v>361</v>
      </c>
      <c r="D137" s="34">
        <v>2230</v>
      </c>
      <c r="E137" s="34">
        <f>4.5*1200+4.5*330+7.3*350+3000*4.5+900*4.5+600*8.5+577.91</f>
        <v>32667.91</v>
      </c>
      <c r="F137" s="47"/>
      <c r="G137" s="34">
        <f t="shared" ref="G137:G160" si="4">E137+F137</f>
        <v>32667.91</v>
      </c>
      <c r="H137" s="47"/>
      <c r="I137" s="34"/>
      <c r="J137" s="47"/>
      <c r="K137" s="34"/>
      <c r="L137" s="47"/>
      <c r="M137" s="34"/>
      <c r="N137" s="47"/>
      <c r="O137" s="34"/>
      <c r="P137" s="47"/>
      <c r="Q137" s="34"/>
      <c r="R137" s="47"/>
      <c r="S137" s="34"/>
      <c r="T137" s="47"/>
      <c r="U137" s="34"/>
      <c r="V137" s="47"/>
      <c r="W137" s="34"/>
      <c r="X137" s="47"/>
      <c r="Y137" s="34">
        <v>1892.9</v>
      </c>
      <c r="Z137" s="47"/>
      <c r="AA137" s="34">
        <f>-0.81+9.54</f>
        <v>8.7299999999999986</v>
      </c>
      <c r="AB137" s="47">
        <v>-9.5399999999999991</v>
      </c>
      <c r="AC137" s="34"/>
      <c r="AD137" s="47"/>
      <c r="AE137" s="34"/>
      <c r="AF137" s="47"/>
      <c r="AG137" s="47" t="s">
        <v>362</v>
      </c>
      <c r="AH137" s="57">
        <f>33650+5776.22+126.6</f>
        <v>39552.82</v>
      </c>
      <c r="AI137" s="32"/>
      <c r="AJ137" s="32">
        <f>33650+5776.22</f>
        <v>39426.22</v>
      </c>
      <c r="AK137" s="32"/>
      <c r="AL137" s="37"/>
      <c r="AN137" s="56"/>
      <c r="AO137" s="58"/>
      <c r="AP137" s="38"/>
    </row>
    <row r="138" spans="2:42" s="28" customFormat="1" ht="60" x14ac:dyDescent="0.2">
      <c r="B138" s="29" t="s">
        <v>363</v>
      </c>
      <c r="C138" s="34" t="s">
        <v>364</v>
      </c>
      <c r="D138" s="34">
        <v>2230</v>
      </c>
      <c r="E138" s="34">
        <v>50000</v>
      </c>
      <c r="F138" s="47"/>
      <c r="G138" s="34">
        <f t="shared" si="4"/>
        <v>50000</v>
      </c>
      <c r="H138" s="47"/>
      <c r="I138" s="34"/>
      <c r="J138" s="47"/>
      <c r="K138" s="34"/>
      <c r="L138" s="47"/>
      <c r="M138" s="34"/>
      <c r="N138" s="47"/>
      <c r="O138" s="34"/>
      <c r="P138" s="47"/>
      <c r="Q138" s="34"/>
      <c r="R138" s="47"/>
      <c r="S138" s="34" t="s">
        <v>365</v>
      </c>
      <c r="T138" s="47"/>
      <c r="U138" s="34">
        <v>1679.8</v>
      </c>
      <c r="V138" s="47"/>
      <c r="W138" s="34"/>
      <c r="X138" s="47"/>
      <c r="Y138" s="34">
        <v>-5721.4</v>
      </c>
      <c r="Z138" s="47">
        <v>-260</v>
      </c>
      <c r="AA138" s="34">
        <f>4360-507.2</f>
        <v>3852.8</v>
      </c>
      <c r="AB138" s="47"/>
      <c r="AC138" s="34"/>
      <c r="AD138" s="47"/>
      <c r="AE138" s="34"/>
      <c r="AF138" s="47"/>
      <c r="AG138" s="47" t="s">
        <v>366</v>
      </c>
      <c r="AH138" s="57">
        <f>47250+9000</f>
        <v>56250</v>
      </c>
      <c r="AI138" s="32"/>
      <c r="AJ138" s="32">
        <f>47250+9000</f>
        <v>56250</v>
      </c>
      <c r="AK138" s="32"/>
      <c r="AL138" s="37"/>
      <c r="AN138" s="56"/>
      <c r="AO138" s="58"/>
      <c r="AP138" s="38"/>
    </row>
    <row r="139" spans="2:42" s="28" customFormat="1" ht="75" x14ac:dyDescent="0.2">
      <c r="B139" s="29" t="s">
        <v>367</v>
      </c>
      <c r="C139" s="34" t="s">
        <v>368</v>
      </c>
      <c r="D139" s="34">
        <v>2230</v>
      </c>
      <c r="E139" s="34">
        <f>1.15*12000+43200*1.15</f>
        <v>63479.999999999993</v>
      </c>
      <c r="F139" s="47"/>
      <c r="G139" s="34">
        <f t="shared" si="4"/>
        <v>63479.999999999993</v>
      </c>
      <c r="H139" s="47"/>
      <c r="I139" s="34"/>
      <c r="J139" s="47"/>
      <c r="K139" s="34"/>
      <c r="L139" s="47"/>
      <c r="M139" s="34"/>
      <c r="N139" s="47"/>
      <c r="O139" s="34"/>
      <c r="P139" s="47"/>
      <c r="Q139" s="34"/>
      <c r="R139" s="47"/>
      <c r="S139" s="34"/>
      <c r="T139" s="47"/>
      <c r="U139" s="34"/>
      <c r="V139" s="47"/>
      <c r="W139" s="34"/>
      <c r="X139" s="47"/>
      <c r="Y139" s="34">
        <v>-18518.52</v>
      </c>
      <c r="Z139" s="47"/>
      <c r="AA139" s="34"/>
      <c r="AB139" s="47">
        <v>-1.28</v>
      </c>
      <c r="AC139" s="34"/>
      <c r="AD139" s="47"/>
      <c r="AE139" s="34"/>
      <c r="AF139" s="47"/>
      <c r="AG139" s="47" t="s">
        <v>369</v>
      </c>
      <c r="AH139" s="57">
        <f>37400+9216</f>
        <v>46616</v>
      </c>
      <c r="AI139" s="32"/>
      <c r="AJ139" s="32">
        <f>37400+9216</f>
        <v>46616</v>
      </c>
      <c r="AK139" s="32"/>
      <c r="AL139" s="37"/>
      <c r="AN139" s="56"/>
      <c r="AO139" s="58"/>
      <c r="AP139" s="38"/>
    </row>
    <row r="140" spans="2:42" s="28" customFormat="1" ht="75" x14ac:dyDescent="0.2">
      <c r="B140" s="29" t="s">
        <v>370</v>
      </c>
      <c r="C140" s="34" t="s">
        <v>371</v>
      </c>
      <c r="D140" s="34">
        <v>2230</v>
      </c>
      <c r="E140" s="34">
        <f>24.5*1800+2277*24.5</f>
        <v>99886.5</v>
      </c>
      <c r="F140" s="47"/>
      <c r="G140" s="34">
        <f t="shared" si="4"/>
        <v>99886.5</v>
      </c>
      <c r="H140" s="47"/>
      <c r="I140" s="34"/>
      <c r="J140" s="47"/>
      <c r="K140" s="34"/>
      <c r="L140" s="47"/>
      <c r="M140" s="34"/>
      <c r="N140" s="47"/>
      <c r="O140" s="34"/>
      <c r="P140" s="47"/>
      <c r="Q140" s="34"/>
      <c r="R140" s="47"/>
      <c r="S140" s="34"/>
      <c r="T140" s="47"/>
      <c r="U140" s="34"/>
      <c r="V140" s="47"/>
      <c r="W140" s="34"/>
      <c r="X140" s="47"/>
      <c r="Y140" s="34">
        <v>-3.31</v>
      </c>
      <c r="Z140" s="47"/>
      <c r="AA140" s="34"/>
      <c r="AB140" s="47"/>
      <c r="AC140" s="34"/>
      <c r="AD140" s="47"/>
      <c r="AE140" s="34"/>
      <c r="AF140" s="47"/>
      <c r="AG140" s="47" t="s">
        <v>372</v>
      </c>
      <c r="AH140" s="57">
        <f>76000+21325.13</f>
        <v>97325.13</v>
      </c>
      <c r="AI140" s="32"/>
      <c r="AJ140" s="32">
        <f>76000+21325.13</f>
        <v>97325.13</v>
      </c>
      <c r="AK140" s="32"/>
      <c r="AL140" s="37"/>
      <c r="AN140" s="56"/>
      <c r="AO140" s="58"/>
      <c r="AP140" s="38"/>
    </row>
    <row r="141" spans="2:42" s="28" customFormat="1" ht="60" x14ac:dyDescent="0.2">
      <c r="B141" s="29" t="s">
        <v>373</v>
      </c>
      <c r="C141" s="34" t="s">
        <v>374</v>
      </c>
      <c r="D141" s="34">
        <v>2230</v>
      </c>
      <c r="E141" s="34">
        <f>29.5*1000+900*34.5</f>
        <v>60550</v>
      </c>
      <c r="F141" s="47"/>
      <c r="G141" s="34">
        <f t="shared" si="4"/>
        <v>60550</v>
      </c>
      <c r="H141" s="47"/>
      <c r="I141" s="34"/>
      <c r="J141" s="47"/>
      <c r="K141" s="34"/>
      <c r="L141" s="47"/>
      <c r="M141" s="34"/>
      <c r="N141" s="47"/>
      <c r="O141" s="34"/>
      <c r="P141" s="47"/>
      <c r="Q141" s="34"/>
      <c r="R141" s="47"/>
      <c r="S141" s="34"/>
      <c r="T141" s="47"/>
      <c r="U141" s="34"/>
      <c r="V141" s="47"/>
      <c r="W141" s="34"/>
      <c r="X141" s="47"/>
      <c r="Y141" s="34">
        <v>25378</v>
      </c>
      <c r="Z141" s="47"/>
      <c r="AA141" s="34"/>
      <c r="AB141" s="47"/>
      <c r="AC141" s="34">
        <f>--129.05-17959</f>
        <v>-17829.95</v>
      </c>
      <c r="AD141" s="47">
        <v>17700.900000000001</v>
      </c>
      <c r="AE141" s="34"/>
      <c r="AF141" s="47"/>
      <c r="AG141" s="47" t="s">
        <v>375</v>
      </c>
      <c r="AH141" s="57">
        <f>13518+52491.36-126.6</f>
        <v>65882.759999999995</v>
      </c>
      <c r="AI141" s="32"/>
      <c r="AJ141" s="32">
        <f>13518+52491.36</f>
        <v>66009.36</v>
      </c>
      <c r="AK141" s="32"/>
      <c r="AL141" s="37"/>
      <c r="AN141" s="56"/>
      <c r="AO141" s="58"/>
      <c r="AP141" s="38"/>
    </row>
    <row r="142" spans="2:42" s="28" customFormat="1" ht="15" hidden="1" x14ac:dyDescent="0.2">
      <c r="B142" s="29" t="s">
        <v>376</v>
      </c>
      <c r="C142" s="34" t="s">
        <v>377</v>
      </c>
      <c r="D142" s="34">
        <v>2230</v>
      </c>
      <c r="E142" s="34">
        <f>265*8.75+300*8.75</f>
        <v>4943.75</v>
      </c>
      <c r="F142" s="47"/>
      <c r="G142" s="34">
        <f t="shared" si="4"/>
        <v>4943.75</v>
      </c>
      <c r="H142" s="47"/>
      <c r="I142" s="34"/>
      <c r="J142" s="47"/>
      <c r="K142" s="34"/>
      <c r="L142" s="47"/>
      <c r="M142" s="34"/>
      <c r="N142" s="47"/>
      <c r="O142" s="34"/>
      <c r="P142" s="47"/>
      <c r="Q142" s="34"/>
      <c r="R142" s="47"/>
      <c r="S142" s="34"/>
      <c r="T142" s="47"/>
      <c r="U142" s="34"/>
      <c r="V142" s="47"/>
      <c r="W142" s="34"/>
      <c r="X142" s="47"/>
      <c r="Y142" s="34">
        <v>-3193.75</v>
      </c>
      <c r="Z142" s="47"/>
      <c r="AA142" s="34"/>
      <c r="AB142" s="47"/>
      <c r="AC142" s="34"/>
      <c r="AD142" s="47"/>
      <c r="AE142" s="34"/>
      <c r="AF142" s="47"/>
      <c r="AG142" s="47"/>
      <c r="AH142" s="57"/>
      <c r="AI142" s="32"/>
      <c r="AJ142" s="32"/>
      <c r="AK142" s="32"/>
      <c r="AL142" s="37"/>
      <c r="AN142" s="56"/>
      <c r="AO142" s="58"/>
      <c r="AP142" s="38"/>
    </row>
    <row r="143" spans="2:42" s="28" customFormat="1" ht="60" x14ac:dyDescent="0.2">
      <c r="B143" s="29" t="s">
        <v>378</v>
      </c>
      <c r="C143" s="34" t="s">
        <v>379</v>
      </c>
      <c r="D143" s="34">
        <v>2230</v>
      </c>
      <c r="E143" s="34">
        <f>60*28.6+223*18+50*21.4+100*21.4</f>
        <v>8940</v>
      </c>
      <c r="F143" s="47"/>
      <c r="G143" s="34">
        <f t="shared" si="4"/>
        <v>8940</v>
      </c>
      <c r="H143" s="47"/>
      <c r="I143" s="34"/>
      <c r="J143" s="47"/>
      <c r="K143" s="34"/>
      <c r="L143" s="47"/>
      <c r="M143" s="34"/>
      <c r="N143" s="47"/>
      <c r="O143" s="34"/>
      <c r="P143" s="47"/>
      <c r="Q143" s="34"/>
      <c r="R143" s="47"/>
      <c r="S143" s="34"/>
      <c r="T143" s="47"/>
      <c r="U143" s="34"/>
      <c r="V143" s="47"/>
      <c r="W143" s="34"/>
      <c r="X143" s="47"/>
      <c r="Y143" s="34">
        <v>-26.2</v>
      </c>
      <c r="Z143" s="47"/>
      <c r="AA143" s="34"/>
      <c r="AB143" s="47"/>
      <c r="AC143" s="34"/>
      <c r="AD143" s="47"/>
      <c r="AE143" s="34"/>
      <c r="AF143" s="47"/>
      <c r="AG143" s="47" t="s">
        <v>380</v>
      </c>
      <c r="AH143" s="57">
        <f>9000+1394.96</f>
        <v>10394.959999999999</v>
      </c>
      <c r="AI143" s="32"/>
      <c r="AJ143" s="32">
        <f>9000+1394.96</f>
        <v>10394.959999999999</v>
      </c>
      <c r="AK143" s="32"/>
      <c r="AL143" s="37"/>
      <c r="AN143" s="56"/>
      <c r="AO143" s="58"/>
      <c r="AP143" s="38"/>
    </row>
    <row r="144" spans="2:42" s="28" customFormat="1" ht="60" x14ac:dyDescent="0.2">
      <c r="B144" s="29" t="s">
        <v>381</v>
      </c>
      <c r="C144" s="34" t="s">
        <v>382</v>
      </c>
      <c r="D144" s="34">
        <v>2230</v>
      </c>
      <c r="E144" s="34">
        <f>287*19+80*9.7+200*21.5</f>
        <v>10529</v>
      </c>
      <c r="F144" s="47"/>
      <c r="G144" s="34">
        <f t="shared" si="4"/>
        <v>10529</v>
      </c>
      <c r="H144" s="47"/>
      <c r="I144" s="34"/>
      <c r="J144" s="47"/>
      <c r="K144" s="34"/>
      <c r="L144" s="47"/>
      <c r="M144" s="34"/>
      <c r="N144" s="47"/>
      <c r="O144" s="34"/>
      <c r="P144" s="47"/>
      <c r="Q144" s="34"/>
      <c r="R144" s="47"/>
      <c r="S144" s="34"/>
      <c r="T144" s="47"/>
      <c r="U144" s="34"/>
      <c r="V144" s="47"/>
      <c r="W144" s="34"/>
      <c r="X144" s="47"/>
      <c r="Y144" s="34">
        <v>-124.5</v>
      </c>
      <c r="Z144" s="47"/>
      <c r="AA144" s="34">
        <v>525</v>
      </c>
      <c r="AB144" s="47"/>
      <c r="AC144" s="34"/>
      <c r="AD144" s="47"/>
      <c r="AE144" s="34"/>
      <c r="AF144" s="47"/>
      <c r="AG144" s="47" t="s">
        <v>383</v>
      </c>
      <c r="AH144" s="57">
        <f>480+900</f>
        <v>1380</v>
      </c>
      <c r="AI144" s="32"/>
      <c r="AJ144" s="32">
        <f>480+900</f>
        <v>1380</v>
      </c>
      <c r="AK144" s="32"/>
      <c r="AL144" s="37"/>
      <c r="AN144" s="56"/>
      <c r="AO144" s="58"/>
      <c r="AP144" s="38"/>
    </row>
    <row r="145" spans="2:42" s="28" customFormat="1" ht="45" x14ac:dyDescent="0.2">
      <c r="B145" s="29" t="s">
        <v>384</v>
      </c>
      <c r="C145" s="34" t="s">
        <v>385</v>
      </c>
      <c r="D145" s="34">
        <v>2230</v>
      </c>
      <c r="E145" s="34">
        <f>536*16.6+1300*17.3</f>
        <v>31387.599999999999</v>
      </c>
      <c r="F145" s="47"/>
      <c r="G145" s="34">
        <f t="shared" si="4"/>
        <v>31387.599999999999</v>
      </c>
      <c r="H145" s="47"/>
      <c r="I145" s="34"/>
      <c r="J145" s="47"/>
      <c r="K145" s="34"/>
      <c r="L145" s="47"/>
      <c r="M145" s="34"/>
      <c r="N145" s="47"/>
      <c r="O145" s="34"/>
      <c r="P145" s="47"/>
      <c r="Q145" s="34"/>
      <c r="R145" s="47"/>
      <c r="S145" s="34"/>
      <c r="T145" s="47"/>
      <c r="U145" s="34"/>
      <c r="V145" s="47"/>
      <c r="W145" s="34"/>
      <c r="X145" s="47"/>
      <c r="Y145" s="34">
        <v>-4.9000000000000004</v>
      </c>
      <c r="Z145" s="47"/>
      <c r="AA145" s="34">
        <v>-1.43</v>
      </c>
      <c r="AB145" s="47"/>
      <c r="AC145" s="34"/>
      <c r="AD145" s="47"/>
      <c r="AE145" s="34"/>
      <c r="AF145" s="47"/>
      <c r="AG145" s="47" t="s">
        <v>386</v>
      </c>
      <c r="AH145" s="57">
        <f>22800+12801.6</f>
        <v>35601.599999999999</v>
      </c>
      <c r="AI145" s="32"/>
      <c r="AJ145" s="32">
        <f>22800+12801.6</f>
        <v>35601.599999999999</v>
      </c>
      <c r="AK145" s="32"/>
      <c r="AL145" s="37"/>
      <c r="AN145" s="56"/>
      <c r="AO145" s="58"/>
      <c r="AP145" s="38"/>
    </row>
    <row r="146" spans="2:42" s="28" customFormat="1" ht="45" x14ac:dyDescent="0.2">
      <c r="B146" s="29" t="s">
        <v>387</v>
      </c>
      <c r="C146" s="34" t="s">
        <v>388</v>
      </c>
      <c r="D146" s="34">
        <v>2230</v>
      </c>
      <c r="E146" s="34">
        <f>5.1*2177.922+608*5+6380*5.3</f>
        <v>47961.402199999997</v>
      </c>
      <c r="F146" s="47"/>
      <c r="G146" s="34">
        <f>E146+F146</f>
        <v>47961.402199999997</v>
      </c>
      <c r="H146" s="47"/>
      <c r="I146" s="34"/>
      <c r="J146" s="47"/>
      <c r="K146" s="34"/>
      <c r="L146" s="47"/>
      <c r="M146" s="34"/>
      <c r="N146" s="47"/>
      <c r="O146" s="34"/>
      <c r="P146" s="47"/>
      <c r="Q146" s="34"/>
      <c r="R146" s="47"/>
      <c r="S146" s="34" t="s">
        <v>389</v>
      </c>
      <c r="T146" s="47"/>
      <c r="U146" s="34"/>
      <c r="V146" s="47"/>
      <c r="W146" s="34"/>
      <c r="X146" s="47"/>
      <c r="Y146" s="34">
        <v>-6156</v>
      </c>
      <c r="Z146" s="47"/>
      <c r="AA146" s="34">
        <v>-4370</v>
      </c>
      <c r="AB146" s="47"/>
      <c r="AC146" s="34"/>
      <c r="AD146" s="47"/>
      <c r="AE146" s="34"/>
      <c r="AF146" s="47"/>
      <c r="AG146" s="47" t="s">
        <v>390</v>
      </c>
      <c r="AH146" s="57">
        <f>15960+4320+720</f>
        <v>21000</v>
      </c>
      <c r="AI146" s="32"/>
      <c r="AJ146" s="32">
        <f>15960+4320+720</f>
        <v>21000</v>
      </c>
      <c r="AK146" s="32"/>
      <c r="AL146" s="37"/>
      <c r="AN146" s="56"/>
      <c r="AO146" s="58"/>
      <c r="AP146" s="38"/>
    </row>
    <row r="147" spans="2:42" s="28" customFormat="1" ht="45" x14ac:dyDescent="0.2">
      <c r="B147" s="29" t="s">
        <v>391</v>
      </c>
      <c r="C147" s="34" t="s">
        <v>392</v>
      </c>
      <c r="D147" s="34">
        <v>2230</v>
      </c>
      <c r="E147" s="34">
        <f>415*10.49+800*11.6</f>
        <v>13633.35</v>
      </c>
      <c r="F147" s="47"/>
      <c r="G147" s="34">
        <f t="shared" si="4"/>
        <v>13633.35</v>
      </c>
      <c r="H147" s="47"/>
      <c r="I147" s="34"/>
      <c r="J147" s="47"/>
      <c r="K147" s="34"/>
      <c r="L147" s="47"/>
      <c r="M147" s="34"/>
      <c r="N147" s="47"/>
      <c r="O147" s="34"/>
      <c r="P147" s="47"/>
      <c r="Q147" s="34"/>
      <c r="R147" s="47"/>
      <c r="S147" s="34"/>
      <c r="T147" s="47"/>
      <c r="U147" s="34"/>
      <c r="V147" s="47"/>
      <c r="W147" s="34"/>
      <c r="X147" s="47"/>
      <c r="Y147" s="34">
        <v>-13.9</v>
      </c>
      <c r="Z147" s="47"/>
      <c r="AA147" s="34">
        <f>0.5-13.5</f>
        <v>-13</v>
      </c>
      <c r="AB147" s="47"/>
      <c r="AC147" s="34"/>
      <c r="AD147" s="47"/>
      <c r="AE147" s="34"/>
      <c r="AF147" s="47"/>
      <c r="AG147" s="47" t="s">
        <v>393</v>
      </c>
      <c r="AH147" s="57">
        <f>10640+6360</f>
        <v>17000</v>
      </c>
      <c r="AI147" s="32"/>
      <c r="AJ147" s="32">
        <f>10640+6360</f>
        <v>17000</v>
      </c>
      <c r="AK147" s="32"/>
      <c r="AL147" s="37"/>
      <c r="AN147" s="56"/>
      <c r="AO147" s="58"/>
      <c r="AP147" s="38"/>
    </row>
    <row r="148" spans="2:42" s="28" customFormat="1" ht="45" x14ac:dyDescent="0.2">
      <c r="B148" s="29" t="s">
        <v>394</v>
      </c>
      <c r="C148" s="34" t="s">
        <v>395</v>
      </c>
      <c r="D148" s="34">
        <v>2230</v>
      </c>
      <c r="E148" s="34">
        <f>4.5*300+800*5</f>
        <v>5350</v>
      </c>
      <c r="F148" s="47"/>
      <c r="G148" s="34">
        <f t="shared" si="4"/>
        <v>5350</v>
      </c>
      <c r="H148" s="47"/>
      <c r="I148" s="34"/>
      <c r="J148" s="47"/>
      <c r="K148" s="34"/>
      <c r="L148" s="47"/>
      <c r="M148" s="34"/>
      <c r="N148" s="47"/>
      <c r="O148" s="34"/>
      <c r="P148" s="47"/>
      <c r="Q148" s="34"/>
      <c r="R148" s="47"/>
      <c r="S148" s="34"/>
      <c r="T148" s="47"/>
      <c r="U148" s="34"/>
      <c r="V148" s="47"/>
      <c r="W148" s="34"/>
      <c r="X148" s="47"/>
      <c r="Y148" s="34"/>
      <c r="Z148" s="47"/>
      <c r="AA148" s="34"/>
      <c r="AB148" s="47"/>
      <c r="AC148" s="34"/>
      <c r="AD148" s="47"/>
      <c r="AE148" s="34"/>
      <c r="AF148" s="47"/>
      <c r="AG148" s="47" t="s">
        <v>396</v>
      </c>
      <c r="AH148" s="57">
        <f>6250+1300</f>
        <v>7550</v>
      </c>
      <c r="AI148" s="32"/>
      <c r="AJ148" s="32">
        <f>6250+1300</f>
        <v>7550</v>
      </c>
      <c r="AK148" s="32"/>
      <c r="AL148" s="37"/>
      <c r="AN148" s="56"/>
      <c r="AO148" s="58"/>
      <c r="AP148" s="38"/>
    </row>
    <row r="149" spans="2:42" s="28" customFormat="1" ht="60" x14ac:dyDescent="0.2">
      <c r="B149" s="29" t="s">
        <v>397</v>
      </c>
      <c r="C149" s="34" t="s">
        <v>398</v>
      </c>
      <c r="D149" s="34">
        <v>2230</v>
      </c>
      <c r="E149" s="34">
        <f>200*4.25+100*5.5+400*8.48+343*19.5+300*8.9+350*6.7+1500*10.9+100*20.5+800*9.8</f>
        <v>42735.5</v>
      </c>
      <c r="F149" s="47"/>
      <c r="G149" s="34">
        <f t="shared" si="4"/>
        <v>42735.5</v>
      </c>
      <c r="H149" s="47"/>
      <c r="I149" s="34"/>
      <c r="J149" s="47"/>
      <c r="K149" s="34"/>
      <c r="L149" s="47"/>
      <c r="M149" s="34"/>
      <c r="N149" s="47"/>
      <c r="O149" s="34"/>
      <c r="P149" s="47"/>
      <c r="Q149" s="34"/>
      <c r="R149" s="47"/>
      <c r="S149" s="34"/>
      <c r="T149" s="47"/>
      <c r="U149" s="34"/>
      <c r="V149" s="47"/>
      <c r="W149" s="34"/>
      <c r="X149" s="47"/>
      <c r="Y149" s="34">
        <v>8554</v>
      </c>
      <c r="Z149" s="47"/>
      <c r="AA149" s="34">
        <f>0.5</f>
        <v>0.5</v>
      </c>
      <c r="AB149" s="47"/>
      <c r="AC149" s="34"/>
      <c r="AD149" s="47"/>
      <c r="AE149" s="34"/>
      <c r="AF149" s="47"/>
      <c r="AG149" s="47" t="s">
        <v>399</v>
      </c>
      <c r="AH149" s="57">
        <f>40975+7110</f>
        <v>48085</v>
      </c>
      <c r="AI149" s="32"/>
      <c r="AJ149" s="32">
        <f>40975+7110</f>
        <v>48085</v>
      </c>
      <c r="AK149" s="32"/>
      <c r="AL149" s="37"/>
      <c r="AN149" s="56"/>
      <c r="AO149" s="58"/>
      <c r="AP149" s="38"/>
    </row>
    <row r="150" spans="2:42" s="28" customFormat="1" ht="30" hidden="1" x14ac:dyDescent="0.2">
      <c r="B150" s="29" t="s">
        <v>400</v>
      </c>
      <c r="C150" s="34" t="s">
        <v>401</v>
      </c>
      <c r="D150" s="34">
        <v>2230</v>
      </c>
      <c r="E150" s="34">
        <f>21*50</f>
        <v>1050</v>
      </c>
      <c r="F150" s="47"/>
      <c r="G150" s="34">
        <f t="shared" si="4"/>
        <v>1050</v>
      </c>
      <c r="H150" s="47"/>
      <c r="I150" s="34"/>
      <c r="J150" s="47"/>
      <c r="K150" s="34"/>
      <c r="L150" s="47"/>
      <c r="M150" s="34"/>
      <c r="N150" s="47"/>
      <c r="O150" s="34"/>
      <c r="P150" s="47"/>
      <c r="Q150" s="34"/>
      <c r="R150" s="47"/>
      <c r="S150" s="34"/>
      <c r="T150" s="47"/>
      <c r="U150" s="34"/>
      <c r="V150" s="47"/>
      <c r="W150" s="34"/>
      <c r="X150" s="47"/>
      <c r="Y150" s="34">
        <v>-210</v>
      </c>
      <c r="Z150" s="47"/>
      <c r="AA150" s="34"/>
      <c r="AB150" s="47"/>
      <c r="AC150" s="34"/>
      <c r="AD150" s="47"/>
      <c r="AE150" s="34"/>
      <c r="AF150" s="47"/>
      <c r="AG150" s="47"/>
      <c r="AH150" s="57"/>
      <c r="AI150" s="32"/>
      <c r="AJ150" s="32"/>
      <c r="AK150" s="32"/>
      <c r="AL150" s="37"/>
      <c r="AN150" s="56"/>
      <c r="AO150" s="58"/>
      <c r="AP150" s="38"/>
    </row>
    <row r="151" spans="2:42" s="28" customFormat="1" ht="75" x14ac:dyDescent="0.2">
      <c r="B151" s="29" t="s">
        <v>402</v>
      </c>
      <c r="C151" s="34" t="s">
        <v>403</v>
      </c>
      <c r="D151" s="34">
        <v>2230</v>
      </c>
      <c r="E151" s="34">
        <f>5.65*3600+5.48*810-3920+6954.75*5.65+1963.5*5.9</f>
        <v>71737.787500000006</v>
      </c>
      <c r="F151" s="47"/>
      <c r="G151" s="34">
        <f t="shared" si="4"/>
        <v>71737.787500000006</v>
      </c>
      <c r="H151" s="47"/>
      <c r="I151" s="34"/>
      <c r="J151" s="47"/>
      <c r="K151" s="34"/>
      <c r="L151" s="47"/>
      <c r="M151" s="34"/>
      <c r="N151" s="47"/>
      <c r="O151" s="34"/>
      <c r="P151" s="47"/>
      <c r="Q151" s="34"/>
      <c r="R151" s="47"/>
      <c r="S151" s="34"/>
      <c r="T151" s="47"/>
      <c r="U151" s="34"/>
      <c r="V151" s="47"/>
      <c r="W151" s="34"/>
      <c r="X151" s="47"/>
      <c r="Y151" s="34"/>
      <c r="Z151" s="47"/>
      <c r="AA151" s="34"/>
      <c r="AB151" s="47">
        <v>10.82</v>
      </c>
      <c r="AC151" s="34">
        <v>-18891.25</v>
      </c>
      <c r="AD151" s="47">
        <f>139.87+18880.43</f>
        <v>19020.3</v>
      </c>
      <c r="AE151" s="34"/>
      <c r="AF151" s="47"/>
      <c r="AG151" s="47" t="s">
        <v>404</v>
      </c>
      <c r="AH151" s="57">
        <f>84860+14801.16711</f>
        <v>99661.167109999995</v>
      </c>
      <c r="AI151" s="32"/>
      <c r="AJ151" s="32">
        <f>84860+14801.16711</f>
        <v>99661.167109999995</v>
      </c>
      <c r="AK151" s="32"/>
      <c r="AL151" s="37"/>
      <c r="AN151" s="56"/>
      <c r="AO151" s="58"/>
      <c r="AP151" s="38"/>
    </row>
    <row r="152" spans="2:42" s="28" customFormat="1" ht="60" x14ac:dyDescent="0.2">
      <c r="B152" s="29" t="s">
        <v>405</v>
      </c>
      <c r="C152" s="34" t="s">
        <v>406</v>
      </c>
      <c r="D152" s="34">
        <v>2230</v>
      </c>
      <c r="E152" s="34">
        <f>150*7</f>
        <v>1050</v>
      </c>
      <c r="F152" s="47"/>
      <c r="G152" s="34">
        <f t="shared" si="4"/>
        <v>1050</v>
      </c>
      <c r="H152" s="47"/>
      <c r="I152" s="34"/>
      <c r="J152" s="47"/>
      <c r="K152" s="34"/>
      <c r="L152" s="47"/>
      <c r="M152" s="34"/>
      <c r="N152" s="47"/>
      <c r="O152" s="34"/>
      <c r="P152" s="47"/>
      <c r="Q152" s="34"/>
      <c r="R152" s="47"/>
      <c r="S152" s="34"/>
      <c r="T152" s="47"/>
      <c r="U152" s="34"/>
      <c r="V152" s="47"/>
      <c r="W152" s="34"/>
      <c r="X152" s="47"/>
      <c r="Y152" s="34">
        <v>-3</v>
      </c>
      <c r="Z152" s="47"/>
      <c r="AA152" s="34"/>
      <c r="AB152" s="47"/>
      <c r="AC152" s="34"/>
      <c r="AD152" s="47"/>
      <c r="AE152" s="34"/>
      <c r="AF152" s="47"/>
      <c r="AG152" s="47" t="s">
        <v>407</v>
      </c>
      <c r="AH152" s="57">
        <f>1680</f>
        <v>1680</v>
      </c>
      <c r="AI152" s="32"/>
      <c r="AJ152" s="32">
        <f>1680</f>
        <v>1680</v>
      </c>
      <c r="AK152" s="32"/>
      <c r="AL152" s="37"/>
      <c r="AN152" s="56"/>
      <c r="AO152" s="58"/>
      <c r="AP152" s="38"/>
    </row>
    <row r="153" spans="2:42" s="28" customFormat="1" ht="75" x14ac:dyDescent="0.2">
      <c r="B153" s="29" t="s">
        <v>408</v>
      </c>
      <c r="C153" s="34" t="s">
        <v>409</v>
      </c>
      <c r="D153" s="34">
        <v>2230</v>
      </c>
      <c r="E153" s="34">
        <f>313.542*9.6+2000*9.75</f>
        <v>22510.003199999999</v>
      </c>
      <c r="F153" s="47"/>
      <c r="G153" s="34">
        <f t="shared" si="4"/>
        <v>22510.003199999999</v>
      </c>
      <c r="H153" s="47"/>
      <c r="I153" s="34"/>
      <c r="J153" s="47"/>
      <c r="K153" s="34"/>
      <c r="L153" s="47"/>
      <c r="M153" s="34"/>
      <c r="N153" s="47"/>
      <c r="O153" s="34"/>
      <c r="P153" s="47"/>
      <c r="Q153" s="34"/>
      <c r="R153" s="47"/>
      <c r="S153" s="34"/>
      <c r="T153" s="47"/>
      <c r="U153" s="34"/>
      <c r="V153" s="47"/>
      <c r="W153" s="34"/>
      <c r="X153" s="47"/>
      <c r="Y153" s="34">
        <v>-200.5</v>
      </c>
      <c r="Z153" s="47"/>
      <c r="AA153" s="34"/>
      <c r="AB153" s="47"/>
      <c r="AC153" s="34"/>
      <c r="AD153" s="47"/>
      <c r="AE153" s="34"/>
      <c r="AF153" s="47"/>
      <c r="AG153" s="47" t="s">
        <v>410</v>
      </c>
      <c r="AH153" s="57">
        <f>16200+3360</f>
        <v>19560</v>
      </c>
      <c r="AI153" s="32"/>
      <c r="AJ153" s="32">
        <f>16200+3360</f>
        <v>19560</v>
      </c>
      <c r="AK153" s="32"/>
      <c r="AL153" s="37"/>
      <c r="AN153" s="56"/>
      <c r="AO153" s="58"/>
      <c r="AP153" s="38"/>
    </row>
    <row r="154" spans="2:42" s="28" customFormat="1" ht="60" x14ac:dyDescent="0.2">
      <c r="B154" s="29" t="s">
        <v>411</v>
      </c>
      <c r="C154" s="34" t="s">
        <v>412</v>
      </c>
      <c r="D154" s="34">
        <v>2230</v>
      </c>
      <c r="E154" s="34">
        <f>1*73.75+7*65</f>
        <v>528.75</v>
      </c>
      <c r="F154" s="47"/>
      <c r="G154" s="34">
        <f t="shared" si="4"/>
        <v>528.75</v>
      </c>
      <c r="H154" s="47"/>
      <c r="I154" s="34"/>
      <c r="J154" s="47"/>
      <c r="K154" s="34"/>
      <c r="L154" s="47"/>
      <c r="M154" s="34"/>
      <c r="N154" s="47"/>
      <c r="O154" s="34"/>
      <c r="P154" s="47"/>
      <c r="Q154" s="34"/>
      <c r="R154" s="47"/>
      <c r="S154" s="34"/>
      <c r="T154" s="47"/>
      <c r="U154" s="34"/>
      <c r="V154" s="47"/>
      <c r="W154" s="34"/>
      <c r="X154" s="47"/>
      <c r="Y154" s="34"/>
      <c r="Z154" s="47">
        <v>260</v>
      </c>
      <c r="AA154" s="34">
        <v>-2.6</v>
      </c>
      <c r="AB154" s="47"/>
      <c r="AC154" s="34"/>
      <c r="AD154" s="47"/>
      <c r="AE154" s="34"/>
      <c r="AF154" s="47"/>
      <c r="AG154" s="47" t="s">
        <v>413</v>
      </c>
      <c r="AH154" s="57">
        <f>1400+109.8</f>
        <v>1509.8</v>
      </c>
      <c r="AI154" s="32"/>
      <c r="AJ154" s="32">
        <f>1400+109.8</f>
        <v>1509.8</v>
      </c>
      <c r="AK154" s="32"/>
      <c r="AL154" s="37"/>
      <c r="AN154" s="56"/>
      <c r="AO154" s="58"/>
      <c r="AP154" s="38"/>
    </row>
    <row r="155" spans="2:42" s="28" customFormat="1" ht="60" x14ac:dyDescent="0.2">
      <c r="B155" s="29" t="s">
        <v>414</v>
      </c>
      <c r="C155" s="34" t="s">
        <v>415</v>
      </c>
      <c r="D155" s="34">
        <v>2230</v>
      </c>
      <c r="E155" s="34">
        <f>50*3.2+100*24+104*3.45</f>
        <v>2918.8</v>
      </c>
      <c r="F155" s="47"/>
      <c r="G155" s="34">
        <f t="shared" si="4"/>
        <v>2918.8</v>
      </c>
      <c r="H155" s="47"/>
      <c r="I155" s="34"/>
      <c r="J155" s="47"/>
      <c r="K155" s="34"/>
      <c r="L155" s="47"/>
      <c r="M155" s="34"/>
      <c r="N155" s="47"/>
      <c r="O155" s="34"/>
      <c r="P155" s="47"/>
      <c r="Q155" s="34"/>
      <c r="R155" s="47"/>
      <c r="S155" s="34"/>
      <c r="T155" s="47"/>
      <c r="U155" s="34"/>
      <c r="V155" s="47"/>
      <c r="W155" s="34"/>
      <c r="X155" s="47"/>
      <c r="Y155" s="34">
        <v>-3.4</v>
      </c>
      <c r="Z155" s="47"/>
      <c r="AA155" s="34"/>
      <c r="AB155" s="47"/>
      <c r="AC155" s="34"/>
      <c r="AD155" s="47"/>
      <c r="AE155" s="34"/>
      <c r="AF155" s="47"/>
      <c r="AG155" s="47" t="s">
        <v>416</v>
      </c>
      <c r="AH155" s="57">
        <f>1220+133.12</f>
        <v>1353.12</v>
      </c>
      <c r="AI155" s="32"/>
      <c r="AJ155" s="32">
        <f>1220+133.12</f>
        <v>1353.12</v>
      </c>
      <c r="AK155" s="32"/>
      <c r="AL155" s="37"/>
      <c r="AN155" s="59"/>
      <c r="AO155" s="58"/>
      <c r="AP155" s="38"/>
    </row>
    <row r="156" spans="2:42" s="28" customFormat="1" ht="45" x14ac:dyDescent="0.2">
      <c r="B156" s="29" t="s">
        <v>417</v>
      </c>
      <c r="C156" s="34" t="s">
        <v>418</v>
      </c>
      <c r="D156" s="34">
        <v>2230</v>
      </c>
      <c r="E156" s="34">
        <f>84*1</f>
        <v>84</v>
      </c>
      <c r="F156" s="47"/>
      <c r="G156" s="34">
        <f t="shared" si="4"/>
        <v>84</v>
      </c>
      <c r="H156" s="47"/>
      <c r="I156" s="34"/>
      <c r="J156" s="47"/>
      <c r="K156" s="34"/>
      <c r="L156" s="47"/>
      <c r="M156" s="34"/>
      <c r="N156" s="47"/>
      <c r="O156" s="34"/>
      <c r="P156" s="47"/>
      <c r="Q156" s="34"/>
      <c r="R156" s="47"/>
      <c r="S156" s="34"/>
      <c r="T156" s="47"/>
      <c r="U156" s="34"/>
      <c r="V156" s="47"/>
      <c r="W156" s="34"/>
      <c r="X156" s="47"/>
      <c r="Y156" s="34"/>
      <c r="Z156" s="47"/>
      <c r="AA156" s="34"/>
      <c r="AB156" s="47"/>
      <c r="AC156" s="34"/>
      <c r="AD156" s="47"/>
      <c r="AE156" s="34"/>
      <c r="AF156" s="47"/>
      <c r="AG156" s="47" t="s">
        <v>419</v>
      </c>
      <c r="AH156" s="57">
        <f>183.5+100</f>
        <v>283.5</v>
      </c>
      <c r="AI156" s="32"/>
      <c r="AJ156" s="32">
        <f>183.5+100</f>
        <v>283.5</v>
      </c>
      <c r="AK156" s="32"/>
      <c r="AL156" s="37"/>
      <c r="AO156" s="58"/>
      <c r="AP156" s="38"/>
    </row>
    <row r="157" spans="2:42" s="28" customFormat="1" ht="60" x14ac:dyDescent="0.2">
      <c r="B157" s="29" t="s">
        <v>420</v>
      </c>
      <c r="C157" s="34" t="s">
        <v>421</v>
      </c>
      <c r="D157" s="34">
        <v>2230</v>
      </c>
      <c r="E157" s="32">
        <f>2.2*50+500*2.5</f>
        <v>1360</v>
      </c>
      <c r="F157" s="32"/>
      <c r="G157" s="32">
        <f t="shared" si="4"/>
        <v>1360</v>
      </c>
      <c r="H157" s="44"/>
      <c r="I157" s="32"/>
      <c r="J157" s="32"/>
      <c r="K157" s="32"/>
      <c r="L157" s="33"/>
      <c r="M157" s="33"/>
      <c r="N157" s="32"/>
      <c r="O157" s="32"/>
      <c r="P157" s="32"/>
      <c r="Q157" s="32"/>
      <c r="R157" s="32"/>
      <c r="S157" s="32"/>
      <c r="T157" s="32"/>
      <c r="U157" s="32">
        <v>-610</v>
      </c>
      <c r="V157" s="32"/>
      <c r="W157" s="32"/>
      <c r="X157" s="32"/>
      <c r="Y157" s="32">
        <v>305</v>
      </c>
      <c r="Z157" s="32"/>
      <c r="AA157" s="32"/>
      <c r="AB157" s="32"/>
      <c r="AC157" s="32"/>
      <c r="AD157" s="32"/>
      <c r="AE157" s="32"/>
      <c r="AF157" s="32"/>
      <c r="AG157" s="47" t="s">
        <v>422</v>
      </c>
      <c r="AH157" s="35">
        <f>1550+187.5</f>
        <v>1737.5</v>
      </c>
      <c r="AI157" s="32"/>
      <c r="AJ157" s="32">
        <f>1550+187.5</f>
        <v>1737.5</v>
      </c>
      <c r="AK157" s="32"/>
      <c r="AL157" s="37"/>
      <c r="AO157" s="58"/>
      <c r="AP157" s="38"/>
    </row>
    <row r="158" spans="2:42" s="28" customFormat="1" ht="45" x14ac:dyDescent="0.2">
      <c r="B158" s="29" t="s">
        <v>423</v>
      </c>
      <c r="C158" s="34" t="s">
        <v>424</v>
      </c>
      <c r="D158" s="34">
        <v>2230</v>
      </c>
      <c r="E158" s="32"/>
      <c r="F158" s="32">
        <v>74054.25</v>
      </c>
      <c r="G158" s="32">
        <f t="shared" si="4"/>
        <v>74054.25</v>
      </c>
      <c r="H158" s="32"/>
      <c r="I158" s="32"/>
      <c r="J158" s="32"/>
      <c r="K158" s="36"/>
      <c r="L158" s="33"/>
      <c r="M158" s="33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  <c r="AA158" s="32"/>
      <c r="AB158" s="32"/>
      <c r="AC158" s="32"/>
      <c r="AD158" s="32"/>
      <c r="AE158" s="32"/>
      <c r="AF158" s="32"/>
      <c r="AG158" s="47" t="s">
        <v>425</v>
      </c>
      <c r="AH158" s="35">
        <v>66004.5</v>
      </c>
      <c r="AI158" s="32"/>
      <c r="AJ158" s="32"/>
      <c r="AK158" s="32"/>
      <c r="AL158" s="37"/>
      <c r="AO158" s="58"/>
      <c r="AP158" s="38"/>
    </row>
    <row r="159" spans="2:42" s="28" customFormat="1" ht="45" x14ac:dyDescent="0.2">
      <c r="B159" s="29" t="s">
        <v>426</v>
      </c>
      <c r="C159" s="34" t="s">
        <v>427</v>
      </c>
      <c r="D159" s="34">
        <v>2230</v>
      </c>
      <c r="E159" s="32">
        <f>3*7.95+14*8</f>
        <v>135.85</v>
      </c>
      <c r="F159" s="32"/>
      <c r="G159" s="32">
        <f t="shared" si="4"/>
        <v>135.85</v>
      </c>
      <c r="H159" s="44"/>
      <c r="I159" s="32"/>
      <c r="J159" s="32"/>
      <c r="K159" s="32"/>
      <c r="L159" s="33"/>
      <c r="M159" s="33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>
        <v>37.85</v>
      </c>
      <c r="Z159" s="32"/>
      <c r="AA159" s="32"/>
      <c r="AB159" s="32"/>
      <c r="AC159" s="32"/>
      <c r="AD159" s="32"/>
      <c r="AE159" s="32"/>
      <c r="AF159" s="32"/>
      <c r="AG159" s="32" t="s">
        <v>428</v>
      </c>
      <c r="AH159" s="35">
        <f>210+19</f>
        <v>229</v>
      </c>
      <c r="AI159" s="32"/>
      <c r="AJ159" s="32">
        <f>210+19</f>
        <v>229</v>
      </c>
      <c r="AK159" s="32"/>
      <c r="AL159" s="37"/>
      <c r="AO159" s="58"/>
      <c r="AP159" s="38"/>
    </row>
    <row r="160" spans="2:42" s="28" customFormat="1" ht="60" x14ac:dyDescent="0.2">
      <c r="B160" s="29" t="s">
        <v>278</v>
      </c>
      <c r="C160" s="34" t="s">
        <v>279</v>
      </c>
      <c r="D160" s="34">
        <v>2230</v>
      </c>
      <c r="E160" s="32">
        <f>10.8*60+133.5*10.8</f>
        <v>2089.8000000000002</v>
      </c>
      <c r="F160" s="32"/>
      <c r="G160" s="32">
        <f t="shared" si="4"/>
        <v>2089.8000000000002</v>
      </c>
      <c r="H160" s="44"/>
      <c r="I160" s="32"/>
      <c r="J160" s="32"/>
      <c r="K160" s="32"/>
      <c r="L160" s="33"/>
      <c r="M160" s="33"/>
      <c r="N160" s="32"/>
      <c r="O160" s="32"/>
      <c r="P160" s="32"/>
      <c r="Q160" s="32"/>
      <c r="R160" s="32"/>
      <c r="S160" s="32"/>
      <c r="T160" s="32"/>
      <c r="U160" s="32">
        <v>-1069.8</v>
      </c>
      <c r="V160" s="32"/>
      <c r="W160" s="32"/>
      <c r="X160" s="32"/>
      <c r="Y160" s="32">
        <v>528</v>
      </c>
      <c r="Z160" s="32"/>
      <c r="AA160" s="32"/>
      <c r="AB160" s="32"/>
      <c r="AC160" s="32"/>
      <c r="AD160" s="32"/>
      <c r="AE160" s="32"/>
      <c r="AF160" s="32"/>
      <c r="AG160" s="32" t="s">
        <v>429</v>
      </c>
      <c r="AH160" s="35">
        <f>1640+756</f>
        <v>2396</v>
      </c>
      <c r="AI160" s="32"/>
      <c r="AJ160" s="32">
        <f>1640+756</f>
        <v>2396</v>
      </c>
      <c r="AK160" s="32"/>
      <c r="AL160" s="37"/>
      <c r="AO160" s="58"/>
      <c r="AP160" s="38"/>
    </row>
    <row r="161" spans="2:42" s="28" customFormat="1" ht="59.25" customHeight="1" x14ac:dyDescent="0.2">
      <c r="B161" s="48" t="s">
        <v>430</v>
      </c>
      <c r="C161" s="34"/>
      <c r="D161" s="34"/>
      <c r="E161" s="41">
        <v>600000</v>
      </c>
      <c r="F161" s="41">
        <f>74054.25</f>
        <v>74054.25</v>
      </c>
      <c r="G161" s="41">
        <f>SUM(G136:G160)</f>
        <v>670134.25290000008</v>
      </c>
      <c r="H161" s="44"/>
      <c r="I161" s="32"/>
      <c r="J161" s="32"/>
      <c r="K161" s="32"/>
      <c r="L161" s="33"/>
      <c r="M161" s="33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F161" s="32"/>
      <c r="AG161" s="41" t="s">
        <v>431</v>
      </c>
      <c r="AH161" s="49">
        <f>SUM(AH136:AH160)</f>
        <v>666004.49711</v>
      </c>
      <c r="AI161" s="41"/>
      <c r="AJ161" s="41">
        <f>SUM(AJ136:AJ160)</f>
        <v>599999.99711</v>
      </c>
      <c r="AK161" s="41"/>
      <c r="AL161" s="60"/>
      <c r="AM161" s="61"/>
      <c r="AO161" s="38" t="s">
        <v>432</v>
      </c>
      <c r="AP161" s="38"/>
    </row>
    <row r="162" spans="2:42" s="28" customFormat="1" ht="15" hidden="1" x14ac:dyDescent="0.2">
      <c r="B162" s="29" t="s">
        <v>433</v>
      </c>
      <c r="C162" s="34" t="s">
        <v>434</v>
      </c>
      <c r="D162" s="34">
        <v>2240</v>
      </c>
      <c r="E162" s="32"/>
      <c r="F162" s="32"/>
      <c r="G162" s="32"/>
      <c r="H162" s="32"/>
      <c r="I162" s="32"/>
      <c r="J162" s="32"/>
      <c r="K162" s="32"/>
      <c r="L162" s="33"/>
      <c r="M162" s="33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  <c r="AA162" s="32"/>
      <c r="AB162" s="32">
        <v>4987</v>
      </c>
      <c r="AC162" s="32"/>
      <c r="AD162" s="32"/>
      <c r="AE162" s="32"/>
      <c r="AF162" s="32"/>
      <c r="AG162" s="32"/>
      <c r="AH162" s="35"/>
      <c r="AI162" s="32"/>
      <c r="AJ162" s="32"/>
      <c r="AK162" s="32"/>
      <c r="AL162" s="37"/>
    </row>
    <row r="163" spans="2:42" s="28" customFormat="1" ht="30" x14ac:dyDescent="0.2">
      <c r="B163" s="29" t="s">
        <v>435</v>
      </c>
      <c r="C163" s="34" t="s">
        <v>436</v>
      </c>
      <c r="D163" s="34">
        <v>2240</v>
      </c>
      <c r="E163" s="32"/>
      <c r="F163" s="32">
        <v>5000</v>
      </c>
      <c r="G163" s="32">
        <f t="shared" ref="G163:G193" si="5">E163+F163</f>
        <v>5000</v>
      </c>
      <c r="H163" s="44"/>
      <c r="I163" s="32"/>
      <c r="J163" s="32"/>
      <c r="K163" s="32"/>
      <c r="L163" s="33"/>
      <c r="M163" s="33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  <c r="AA163" s="32"/>
      <c r="AB163" s="32"/>
      <c r="AC163" s="32"/>
      <c r="AD163" s="32"/>
      <c r="AE163" s="32"/>
      <c r="AF163" s="32"/>
      <c r="AG163" s="32" t="s">
        <v>199</v>
      </c>
      <c r="AH163" s="35">
        <v>500</v>
      </c>
      <c r="AI163" s="32"/>
      <c r="AJ163" s="32"/>
      <c r="AK163" s="32"/>
      <c r="AL163" s="37"/>
    </row>
    <row r="164" spans="2:42" s="28" customFormat="1" ht="75" x14ac:dyDescent="0.2">
      <c r="B164" s="29" t="s">
        <v>437</v>
      </c>
      <c r="C164" s="34" t="s">
        <v>438</v>
      </c>
      <c r="D164" s="34">
        <v>2240</v>
      </c>
      <c r="E164" s="32"/>
      <c r="F164" s="39"/>
      <c r="G164" s="32"/>
      <c r="H164" s="32"/>
      <c r="I164" s="32"/>
      <c r="J164" s="32"/>
      <c r="K164" s="32">
        <v>20000</v>
      </c>
      <c r="L164" s="33"/>
      <c r="M164" s="33"/>
      <c r="N164" s="32"/>
      <c r="O164" s="32"/>
      <c r="P164" s="32"/>
      <c r="Q164" s="32"/>
      <c r="R164" s="32"/>
      <c r="S164" s="46">
        <v>2670</v>
      </c>
      <c r="T164" s="32"/>
      <c r="U164" s="32"/>
      <c r="V164" s="32"/>
      <c r="W164" s="32"/>
      <c r="X164" s="32"/>
      <c r="Y164" s="32"/>
      <c r="Z164" s="32"/>
      <c r="AA164" s="32"/>
      <c r="AB164" s="32"/>
      <c r="AC164" s="32"/>
      <c r="AD164" s="32"/>
      <c r="AE164" s="32"/>
      <c r="AF164" s="32"/>
      <c r="AG164" s="32" t="s">
        <v>439</v>
      </c>
      <c r="AH164" s="35">
        <v>19892.84</v>
      </c>
      <c r="AI164" s="32"/>
      <c r="AJ164" s="32"/>
      <c r="AK164" s="32"/>
      <c r="AL164" s="37"/>
    </row>
    <row r="165" spans="2:42" s="28" customFormat="1" ht="45" x14ac:dyDescent="0.2">
      <c r="B165" s="29" t="s">
        <v>440</v>
      </c>
      <c r="C165" s="34" t="s">
        <v>441</v>
      </c>
      <c r="D165" s="34">
        <v>2240</v>
      </c>
      <c r="E165" s="32"/>
      <c r="F165" s="39"/>
      <c r="G165" s="32"/>
      <c r="H165" s="40"/>
      <c r="I165" s="41">
        <v>2388.52</v>
      </c>
      <c r="J165" s="32"/>
      <c r="K165" s="32">
        <v>4700</v>
      </c>
      <c r="L165" s="33"/>
      <c r="M165" s="32">
        <v>2150</v>
      </c>
      <c r="N165" s="32"/>
      <c r="O165" s="46">
        <v>11768.1</v>
      </c>
      <c r="P165" s="32"/>
      <c r="Q165" s="32"/>
      <c r="R165" s="32"/>
      <c r="S165" s="46">
        <v>1326</v>
      </c>
      <c r="T165" s="32">
        <v>1000</v>
      </c>
      <c r="U165" s="39"/>
      <c r="V165" s="39"/>
      <c r="W165" s="46">
        <v>2404.56</v>
      </c>
      <c r="X165" s="32"/>
      <c r="Y165" s="32"/>
      <c r="Z165" s="32">
        <f>5700+2000</f>
        <v>7700</v>
      </c>
      <c r="AA165" s="32"/>
      <c r="AB165" s="32"/>
      <c r="AC165" s="32"/>
      <c r="AD165" s="32"/>
      <c r="AE165" s="32"/>
      <c r="AF165" s="32"/>
      <c r="AG165" s="32" t="s">
        <v>222</v>
      </c>
      <c r="AH165" s="35">
        <v>5000</v>
      </c>
      <c r="AI165" s="32"/>
      <c r="AJ165" s="32"/>
      <c r="AK165" s="32"/>
      <c r="AL165" s="37"/>
    </row>
    <row r="166" spans="2:42" s="28" customFormat="1" ht="45" x14ac:dyDescent="0.2">
      <c r="B166" s="29" t="s">
        <v>442</v>
      </c>
      <c r="C166" s="34" t="s">
        <v>443</v>
      </c>
      <c r="D166" s="34">
        <v>2240</v>
      </c>
      <c r="E166" s="32"/>
      <c r="F166" s="39"/>
      <c r="G166" s="32"/>
      <c r="H166" s="40"/>
      <c r="I166" s="41"/>
      <c r="J166" s="32"/>
      <c r="K166" s="32"/>
      <c r="L166" s="33"/>
      <c r="M166" s="32"/>
      <c r="N166" s="32"/>
      <c r="O166" s="46"/>
      <c r="P166" s="32"/>
      <c r="Q166" s="32"/>
      <c r="R166" s="32"/>
      <c r="S166" s="46"/>
      <c r="T166" s="32"/>
      <c r="U166" s="46">
        <v>11985</v>
      </c>
      <c r="V166" s="39"/>
      <c r="W166" s="39"/>
      <c r="X166" s="32"/>
      <c r="Y166" s="32"/>
      <c r="Z166" s="32"/>
      <c r="AA166" s="32"/>
      <c r="AB166" s="32"/>
      <c r="AC166" s="32"/>
      <c r="AD166" s="32"/>
      <c r="AE166" s="32"/>
      <c r="AF166" s="32"/>
      <c r="AG166" s="32" t="s">
        <v>66</v>
      </c>
      <c r="AH166" s="35">
        <v>10000</v>
      </c>
      <c r="AI166" s="32"/>
      <c r="AJ166" s="32"/>
      <c r="AK166" s="32"/>
      <c r="AL166" s="37"/>
    </row>
    <row r="167" spans="2:42" s="28" customFormat="1" ht="45" x14ac:dyDescent="0.2">
      <c r="B167" s="29" t="s">
        <v>444</v>
      </c>
      <c r="C167" s="34" t="s">
        <v>445</v>
      </c>
      <c r="D167" s="34">
        <v>2240</v>
      </c>
      <c r="E167" s="32"/>
      <c r="F167" s="39"/>
      <c r="G167" s="32"/>
      <c r="H167" s="40"/>
      <c r="I167" s="41"/>
      <c r="J167" s="32"/>
      <c r="K167" s="32"/>
      <c r="L167" s="33"/>
      <c r="M167" s="32"/>
      <c r="N167" s="32">
        <v>959.1</v>
      </c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  <c r="AA167" s="32"/>
      <c r="AB167" s="32"/>
      <c r="AC167" s="32"/>
      <c r="AD167" s="32"/>
      <c r="AE167" s="32"/>
      <c r="AF167" s="32"/>
      <c r="AG167" s="32" t="s">
        <v>446</v>
      </c>
      <c r="AH167" s="35">
        <v>20000</v>
      </c>
      <c r="AI167" s="32"/>
      <c r="AJ167" s="32"/>
      <c r="AK167" s="32"/>
      <c r="AL167" s="37"/>
    </row>
    <row r="168" spans="2:42" s="28" customFormat="1" ht="30" hidden="1" x14ac:dyDescent="0.2">
      <c r="B168" s="29" t="s">
        <v>447</v>
      </c>
      <c r="C168" s="34" t="s">
        <v>448</v>
      </c>
      <c r="D168" s="34">
        <v>2240</v>
      </c>
      <c r="E168" s="32"/>
      <c r="F168" s="32">
        <v>20000</v>
      </c>
      <c r="G168" s="32">
        <f t="shared" si="5"/>
        <v>20000</v>
      </c>
      <c r="H168" s="44"/>
      <c r="I168" s="32"/>
      <c r="J168" s="32"/>
      <c r="K168" s="32"/>
      <c r="L168" s="33"/>
      <c r="M168" s="33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  <c r="AA168" s="32"/>
      <c r="AB168" s="32"/>
      <c r="AC168" s="32"/>
      <c r="AD168" s="32"/>
      <c r="AE168" s="32"/>
      <c r="AF168" s="32"/>
      <c r="AG168" s="32"/>
      <c r="AH168" s="35"/>
      <c r="AI168" s="32"/>
      <c r="AJ168" s="32"/>
      <c r="AK168" s="32"/>
      <c r="AL168" s="37"/>
    </row>
    <row r="169" spans="2:42" s="28" customFormat="1" ht="45" x14ac:dyDescent="0.2">
      <c r="B169" s="29" t="s">
        <v>449</v>
      </c>
      <c r="C169" s="34" t="s">
        <v>450</v>
      </c>
      <c r="D169" s="34">
        <v>2240</v>
      </c>
      <c r="E169" s="32">
        <v>476</v>
      </c>
      <c r="F169" s="32">
        <v>1600</v>
      </c>
      <c r="G169" s="32">
        <f t="shared" si="5"/>
        <v>2076</v>
      </c>
      <c r="H169" s="44"/>
      <c r="I169" s="32"/>
      <c r="J169" s="32"/>
      <c r="K169" s="32"/>
      <c r="L169" s="33"/>
      <c r="M169" s="33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>
        <v>558.9</v>
      </c>
      <c r="AA169" s="32"/>
      <c r="AB169" s="32"/>
      <c r="AC169" s="32"/>
      <c r="AD169" s="32"/>
      <c r="AE169" s="32"/>
      <c r="AF169" s="32"/>
      <c r="AG169" s="32" t="s">
        <v>451</v>
      </c>
      <c r="AH169" s="35">
        <v>4000</v>
      </c>
      <c r="AI169" s="32"/>
      <c r="AJ169" s="32"/>
      <c r="AK169" s="32"/>
      <c r="AL169" s="37"/>
    </row>
    <row r="170" spans="2:42" s="28" customFormat="1" ht="30" hidden="1" x14ac:dyDescent="0.2">
      <c r="B170" s="29" t="s">
        <v>452</v>
      </c>
      <c r="C170" s="34" t="s">
        <v>453</v>
      </c>
      <c r="D170" s="34">
        <v>2240</v>
      </c>
      <c r="E170" s="32"/>
      <c r="F170" s="39"/>
      <c r="G170" s="32"/>
      <c r="H170" s="40"/>
      <c r="I170" s="41">
        <v>999.6</v>
      </c>
      <c r="J170" s="32"/>
      <c r="K170" s="32"/>
      <c r="L170" s="33"/>
      <c r="M170" s="33"/>
      <c r="N170" s="32"/>
      <c r="O170" s="32"/>
      <c r="P170" s="32"/>
      <c r="Q170" s="32"/>
      <c r="R170" s="32"/>
      <c r="S170" s="32"/>
      <c r="T170" s="32"/>
      <c r="U170" s="32">
        <v>2500</v>
      </c>
      <c r="V170" s="32"/>
      <c r="W170" s="32"/>
      <c r="X170" s="32"/>
      <c r="Y170" s="32"/>
      <c r="Z170" s="32"/>
      <c r="AA170" s="32"/>
      <c r="AB170" s="32"/>
      <c r="AC170" s="32"/>
      <c r="AD170" s="32"/>
      <c r="AE170" s="32"/>
      <c r="AF170" s="32"/>
      <c r="AG170" s="32"/>
      <c r="AH170" s="35"/>
      <c r="AI170" s="32"/>
      <c r="AJ170" s="32"/>
      <c r="AK170" s="32"/>
      <c r="AL170" s="37"/>
    </row>
    <row r="171" spans="2:42" s="28" customFormat="1" ht="45" x14ac:dyDescent="0.2">
      <c r="B171" s="29" t="s">
        <v>454</v>
      </c>
      <c r="C171" s="34" t="s">
        <v>455</v>
      </c>
      <c r="D171" s="34">
        <v>2240</v>
      </c>
      <c r="E171" s="32"/>
      <c r="F171" s="32">
        <v>300</v>
      </c>
      <c r="G171" s="32">
        <f t="shared" si="5"/>
        <v>300</v>
      </c>
      <c r="H171" s="44"/>
      <c r="I171" s="32"/>
      <c r="J171" s="32"/>
      <c r="K171" s="32"/>
      <c r="L171" s="33"/>
      <c r="M171" s="33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  <c r="AA171" s="32"/>
      <c r="AB171" s="32"/>
      <c r="AC171" s="32"/>
      <c r="AD171" s="32"/>
      <c r="AE171" s="32"/>
      <c r="AF171" s="32"/>
      <c r="AG171" s="32" t="s">
        <v>456</v>
      </c>
      <c r="AH171" s="35">
        <v>1300</v>
      </c>
      <c r="AI171" s="32"/>
      <c r="AJ171" s="32"/>
      <c r="AK171" s="32"/>
      <c r="AL171" s="37"/>
    </row>
    <row r="172" spans="2:42" s="28" customFormat="1" ht="45" hidden="1" x14ac:dyDescent="0.2">
      <c r="B172" s="29" t="s">
        <v>457</v>
      </c>
      <c r="C172" s="34" t="s">
        <v>458</v>
      </c>
      <c r="D172" s="34">
        <v>2240</v>
      </c>
      <c r="E172" s="32"/>
      <c r="F172" s="32"/>
      <c r="G172" s="32"/>
      <c r="H172" s="44"/>
      <c r="I172" s="32"/>
      <c r="J172" s="32"/>
      <c r="K172" s="32"/>
      <c r="L172" s="33"/>
      <c r="M172" s="33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>
        <v>3000</v>
      </c>
      <c r="AA172" s="32">
        <v>4578</v>
      </c>
      <c r="AB172" s="32"/>
      <c r="AC172" s="32"/>
      <c r="AD172" s="32"/>
      <c r="AE172" s="32"/>
      <c r="AF172" s="32"/>
      <c r="AG172" s="32"/>
      <c r="AH172" s="35"/>
      <c r="AI172" s="32"/>
      <c r="AJ172" s="32"/>
      <c r="AK172" s="32"/>
      <c r="AL172" s="37"/>
    </row>
    <row r="173" spans="2:42" s="28" customFormat="1" ht="30" hidden="1" x14ac:dyDescent="0.2">
      <c r="B173" s="29" t="s">
        <v>459</v>
      </c>
      <c r="C173" s="34" t="s">
        <v>460</v>
      </c>
      <c r="D173" s="34">
        <v>2240</v>
      </c>
      <c r="E173" s="32"/>
      <c r="F173" s="32"/>
      <c r="G173" s="32"/>
      <c r="H173" s="44"/>
      <c r="I173" s="32"/>
      <c r="J173" s="32"/>
      <c r="K173" s="32"/>
      <c r="L173" s="33"/>
      <c r="M173" s="33"/>
      <c r="N173" s="32"/>
      <c r="O173" s="32">
        <v>20.399999999999999</v>
      </c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  <c r="AA173" s="32"/>
      <c r="AB173" s="32"/>
      <c r="AC173" s="32"/>
      <c r="AD173" s="32"/>
      <c r="AE173" s="32"/>
      <c r="AF173" s="32"/>
      <c r="AG173" s="32"/>
      <c r="AH173" s="35"/>
      <c r="AI173" s="32"/>
      <c r="AJ173" s="32"/>
      <c r="AK173" s="32"/>
      <c r="AL173" s="37"/>
    </row>
    <row r="174" spans="2:42" s="28" customFormat="1" ht="45" x14ac:dyDescent="0.2">
      <c r="B174" s="29" t="s">
        <v>461</v>
      </c>
      <c r="C174" s="34" t="s">
        <v>462</v>
      </c>
      <c r="D174" s="34">
        <v>2240</v>
      </c>
      <c r="E174" s="32"/>
      <c r="F174" s="32"/>
      <c r="G174" s="32"/>
      <c r="H174" s="44"/>
      <c r="I174" s="32"/>
      <c r="J174" s="32"/>
      <c r="K174" s="32"/>
      <c r="L174" s="33"/>
      <c r="M174" s="33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  <c r="AA174" s="32"/>
      <c r="AB174" s="32"/>
      <c r="AC174" s="32"/>
      <c r="AD174" s="32"/>
      <c r="AE174" s="32"/>
      <c r="AF174" s="32"/>
      <c r="AG174" s="32" t="s">
        <v>463</v>
      </c>
      <c r="AH174" s="35">
        <v>6900</v>
      </c>
      <c r="AI174" s="32"/>
      <c r="AJ174" s="32"/>
      <c r="AK174" s="32"/>
      <c r="AL174" s="37"/>
    </row>
    <row r="175" spans="2:42" s="28" customFormat="1" ht="45" x14ac:dyDescent="0.2">
      <c r="B175" s="29" t="s">
        <v>464</v>
      </c>
      <c r="C175" s="34" t="s">
        <v>465</v>
      </c>
      <c r="D175" s="34">
        <v>2240</v>
      </c>
      <c r="E175" s="32">
        <v>6253</v>
      </c>
      <c r="F175" s="32">
        <v>11747</v>
      </c>
      <c r="G175" s="32">
        <f t="shared" si="5"/>
        <v>18000</v>
      </c>
      <c r="H175" s="44"/>
      <c r="I175" s="32"/>
      <c r="J175" s="32"/>
      <c r="K175" s="32"/>
      <c r="L175" s="33"/>
      <c r="M175" s="33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  <c r="AA175" s="32"/>
      <c r="AB175" s="32"/>
      <c r="AC175" s="32"/>
      <c r="AD175" s="32"/>
      <c r="AE175" s="32"/>
      <c r="AF175" s="32"/>
      <c r="AG175" s="32" t="s">
        <v>325</v>
      </c>
      <c r="AH175" s="35">
        <v>15000</v>
      </c>
      <c r="AI175" s="32"/>
      <c r="AJ175" s="32"/>
      <c r="AK175" s="32"/>
      <c r="AL175" s="37"/>
    </row>
    <row r="176" spans="2:42" s="28" customFormat="1" ht="57.75" customHeight="1" x14ac:dyDescent="0.2">
      <c r="B176" s="29" t="s">
        <v>466</v>
      </c>
      <c r="C176" s="34" t="s">
        <v>467</v>
      </c>
      <c r="D176" s="34">
        <v>2240</v>
      </c>
      <c r="E176" s="32"/>
      <c r="F176" s="32">
        <v>3600</v>
      </c>
      <c r="G176" s="32">
        <f t="shared" si="5"/>
        <v>3600</v>
      </c>
      <c r="H176" s="44"/>
      <c r="I176" s="32"/>
      <c r="J176" s="32"/>
      <c r="K176" s="32"/>
      <c r="L176" s="33"/>
      <c r="M176" s="33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F176" s="32"/>
      <c r="AG176" s="32" t="s">
        <v>468</v>
      </c>
      <c r="AH176" s="35">
        <v>14400</v>
      </c>
      <c r="AI176" s="32"/>
      <c r="AJ176" s="32"/>
      <c r="AK176" s="32"/>
      <c r="AL176" s="37"/>
    </row>
    <row r="177" spans="2:38" s="28" customFormat="1" ht="45" x14ac:dyDescent="0.2">
      <c r="B177" s="29" t="s">
        <v>469</v>
      </c>
      <c r="C177" s="34" t="s">
        <v>470</v>
      </c>
      <c r="D177" s="34">
        <v>2240</v>
      </c>
      <c r="E177" s="32"/>
      <c r="F177" s="32">
        <v>750</v>
      </c>
      <c r="G177" s="32">
        <f t="shared" si="5"/>
        <v>750</v>
      </c>
      <c r="H177" s="44"/>
      <c r="I177" s="32"/>
      <c r="J177" s="32"/>
      <c r="K177" s="32"/>
      <c r="L177" s="33"/>
      <c r="M177" s="33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  <c r="AA177" s="32"/>
      <c r="AB177" s="32"/>
      <c r="AC177" s="32"/>
      <c r="AD177" s="32"/>
      <c r="AE177" s="32"/>
      <c r="AF177" s="32"/>
      <c r="AG177" s="32" t="s">
        <v>471</v>
      </c>
      <c r="AH177" s="35">
        <v>750</v>
      </c>
      <c r="AI177" s="32"/>
      <c r="AJ177" s="32"/>
      <c r="AK177" s="32"/>
      <c r="AL177" s="37"/>
    </row>
    <row r="178" spans="2:38" s="28" customFormat="1" ht="45" x14ac:dyDescent="0.2">
      <c r="B178" s="29" t="s">
        <v>472</v>
      </c>
      <c r="C178" s="34" t="s">
        <v>473</v>
      </c>
      <c r="D178" s="34">
        <v>2240</v>
      </c>
      <c r="E178" s="32"/>
      <c r="F178" s="32">
        <v>2520</v>
      </c>
      <c r="G178" s="32">
        <f t="shared" si="5"/>
        <v>2520</v>
      </c>
      <c r="H178" s="44"/>
      <c r="I178" s="32"/>
      <c r="J178" s="32"/>
      <c r="K178" s="32"/>
      <c r="L178" s="33"/>
      <c r="M178" s="33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  <c r="AA178" s="32"/>
      <c r="AB178" s="32"/>
      <c r="AC178" s="32"/>
      <c r="AD178" s="32"/>
      <c r="AE178" s="32"/>
      <c r="AF178" s="32"/>
      <c r="AG178" s="32" t="s">
        <v>474</v>
      </c>
      <c r="AH178" s="35">
        <v>2520</v>
      </c>
      <c r="AI178" s="32"/>
      <c r="AJ178" s="32"/>
      <c r="AK178" s="32"/>
      <c r="AL178" s="37"/>
    </row>
    <row r="179" spans="2:38" s="28" customFormat="1" ht="45" x14ac:dyDescent="0.2">
      <c r="B179" s="29" t="s">
        <v>475</v>
      </c>
      <c r="C179" s="34" t="s">
        <v>476</v>
      </c>
      <c r="D179" s="34">
        <v>2240</v>
      </c>
      <c r="E179" s="32"/>
      <c r="F179" s="32">
        <v>5600</v>
      </c>
      <c r="G179" s="32">
        <f t="shared" si="5"/>
        <v>5600</v>
      </c>
      <c r="H179" s="44"/>
      <c r="I179" s="32"/>
      <c r="J179" s="32"/>
      <c r="K179" s="32"/>
      <c r="L179" s="33"/>
      <c r="M179" s="33"/>
      <c r="N179" s="32"/>
      <c r="O179" s="32"/>
      <c r="P179" s="32"/>
      <c r="Q179" s="32"/>
      <c r="R179" s="32"/>
      <c r="S179" s="32"/>
      <c r="T179" s="32"/>
      <c r="U179" s="32">
        <v>5475</v>
      </c>
      <c r="V179" s="32"/>
      <c r="W179" s="32"/>
      <c r="X179" s="32"/>
      <c r="Y179" s="32">
        <v>1100</v>
      </c>
      <c r="Z179" s="32"/>
      <c r="AA179" s="32"/>
      <c r="AB179" s="32"/>
      <c r="AC179" s="32"/>
      <c r="AD179" s="32"/>
      <c r="AE179" s="32"/>
      <c r="AF179" s="32"/>
      <c r="AG179" s="32" t="s">
        <v>477</v>
      </c>
      <c r="AH179" s="35">
        <v>6000</v>
      </c>
      <c r="AI179" s="32"/>
      <c r="AJ179" s="32"/>
      <c r="AK179" s="32"/>
      <c r="AL179" s="37"/>
    </row>
    <row r="180" spans="2:38" s="28" customFormat="1" ht="90" x14ac:dyDescent="0.2">
      <c r="B180" s="29" t="s">
        <v>478</v>
      </c>
      <c r="C180" s="34" t="s">
        <v>479</v>
      </c>
      <c r="D180" s="34">
        <v>2240</v>
      </c>
      <c r="E180" s="32"/>
      <c r="F180" s="32"/>
      <c r="G180" s="32"/>
      <c r="H180" s="44"/>
      <c r="I180" s="32"/>
      <c r="J180" s="32"/>
      <c r="K180" s="32"/>
      <c r="L180" s="33"/>
      <c r="M180" s="33"/>
      <c r="N180" s="32"/>
      <c r="O180" s="32"/>
      <c r="P180" s="32"/>
      <c r="Q180" s="32"/>
      <c r="R180" s="32"/>
      <c r="S180" s="32"/>
      <c r="T180" s="32"/>
      <c r="U180" s="32"/>
      <c r="V180" s="32">
        <v>810</v>
      </c>
      <c r="W180" s="32"/>
      <c r="X180" s="32"/>
      <c r="Y180" s="32"/>
      <c r="Z180" s="32"/>
      <c r="AA180" s="32"/>
      <c r="AB180" s="32"/>
      <c r="AC180" s="32"/>
      <c r="AD180" s="32"/>
      <c r="AE180" s="32"/>
      <c r="AF180" s="32"/>
      <c r="AG180" s="32" t="s">
        <v>480</v>
      </c>
      <c r="AH180" s="35">
        <v>3552</v>
      </c>
      <c r="AI180" s="32"/>
      <c r="AJ180" s="32"/>
      <c r="AK180" s="32"/>
      <c r="AL180" s="37"/>
    </row>
    <row r="181" spans="2:38" s="28" customFormat="1" ht="63.75" x14ac:dyDescent="0.2">
      <c r="B181" s="29" t="s">
        <v>481</v>
      </c>
      <c r="C181" s="34" t="s">
        <v>482</v>
      </c>
      <c r="D181" s="34">
        <v>2240</v>
      </c>
      <c r="E181" s="32"/>
      <c r="F181" s="32" t="e">
        <f>E181+#REF!</f>
        <v>#REF!</v>
      </c>
      <c r="G181" s="32">
        <v>750</v>
      </c>
      <c r="H181" s="32"/>
      <c r="I181" s="32"/>
      <c r="J181" s="32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2" t="s">
        <v>483</v>
      </c>
      <c r="AH181" s="35">
        <f>1781.25+2450</f>
        <v>4231.25</v>
      </c>
      <c r="AI181" s="32"/>
      <c r="AJ181" s="33"/>
      <c r="AK181" s="41"/>
      <c r="AL181" s="62" t="s">
        <v>484</v>
      </c>
    </row>
    <row r="182" spans="2:38" s="28" customFormat="1" ht="45" x14ac:dyDescent="0.2">
      <c r="B182" s="29" t="s">
        <v>485</v>
      </c>
      <c r="C182" s="34" t="s">
        <v>486</v>
      </c>
      <c r="D182" s="34">
        <v>2240</v>
      </c>
      <c r="E182" s="32"/>
      <c r="F182" s="32">
        <v>15000</v>
      </c>
      <c r="G182" s="32">
        <f t="shared" si="5"/>
        <v>15000</v>
      </c>
      <c r="H182" s="44"/>
      <c r="I182" s="32"/>
      <c r="J182" s="32"/>
      <c r="K182" s="32"/>
      <c r="L182" s="33"/>
      <c r="M182" s="33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  <c r="AA182" s="32"/>
      <c r="AB182" s="32"/>
      <c r="AC182" s="32"/>
      <c r="AD182" s="32"/>
      <c r="AE182" s="32"/>
      <c r="AF182" s="32"/>
      <c r="AG182" s="32" t="s">
        <v>66</v>
      </c>
      <c r="AH182" s="35">
        <v>10000</v>
      </c>
      <c r="AI182" s="32"/>
      <c r="AJ182" s="32"/>
      <c r="AK182" s="32"/>
      <c r="AL182" s="37"/>
    </row>
    <row r="183" spans="2:38" s="28" customFormat="1" ht="30" x14ac:dyDescent="0.2">
      <c r="B183" s="29" t="s">
        <v>487</v>
      </c>
      <c r="C183" s="34" t="s">
        <v>488</v>
      </c>
      <c r="D183" s="34">
        <v>2240</v>
      </c>
      <c r="E183" s="32"/>
      <c r="F183" s="32">
        <v>1600</v>
      </c>
      <c r="G183" s="32">
        <f t="shared" si="5"/>
        <v>1600</v>
      </c>
      <c r="H183" s="44"/>
      <c r="I183" s="32"/>
      <c r="J183" s="32"/>
      <c r="K183" s="32"/>
      <c r="L183" s="33"/>
      <c r="M183" s="33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 t="s">
        <v>489</v>
      </c>
      <c r="AH183" s="35">
        <v>400</v>
      </c>
      <c r="AI183" s="32"/>
      <c r="AJ183" s="32"/>
      <c r="AK183" s="32"/>
      <c r="AL183" s="37"/>
    </row>
    <row r="184" spans="2:38" s="28" customFormat="1" ht="45" x14ac:dyDescent="0.2">
      <c r="B184" s="29" t="s">
        <v>490</v>
      </c>
      <c r="C184" s="34" t="s">
        <v>491</v>
      </c>
      <c r="D184" s="34">
        <v>2240</v>
      </c>
      <c r="E184" s="32"/>
      <c r="F184" s="32" t="e">
        <f>E184+#REF!</f>
        <v>#REF!</v>
      </c>
      <c r="G184" s="32">
        <v>1400</v>
      </c>
      <c r="H184" s="32"/>
      <c r="I184" s="32"/>
      <c r="J184" s="32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2" t="s">
        <v>492</v>
      </c>
      <c r="AH184" s="35">
        <v>1400</v>
      </c>
      <c r="AI184" s="32"/>
      <c r="AJ184" s="33"/>
      <c r="AK184" s="41"/>
      <c r="AL184" s="37"/>
    </row>
    <row r="185" spans="2:38" s="28" customFormat="1" ht="60" x14ac:dyDescent="0.2">
      <c r="B185" s="29" t="s">
        <v>493</v>
      </c>
      <c r="C185" s="34" t="s">
        <v>494</v>
      </c>
      <c r="D185" s="34">
        <v>2240</v>
      </c>
      <c r="E185" s="32">
        <f>10000-89</f>
        <v>9911</v>
      </c>
      <c r="F185" s="32">
        <f>99600-10000+89</f>
        <v>89689</v>
      </c>
      <c r="G185" s="32">
        <f t="shared" si="5"/>
        <v>99600</v>
      </c>
      <c r="H185" s="44"/>
      <c r="I185" s="32"/>
      <c r="J185" s="32"/>
      <c r="K185" s="32"/>
      <c r="L185" s="33"/>
      <c r="M185" s="33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>
        <v>3185.48</v>
      </c>
      <c r="AD185" s="32"/>
      <c r="AE185" s="32"/>
      <c r="AF185" s="32"/>
      <c r="AG185" s="32" t="s">
        <v>495</v>
      </c>
      <c r="AH185" s="35">
        <v>99000</v>
      </c>
      <c r="AI185" s="32"/>
      <c r="AJ185" s="32"/>
      <c r="AK185" s="32"/>
      <c r="AL185" s="37"/>
    </row>
    <row r="186" spans="2:38" s="28" customFormat="1" ht="45" x14ac:dyDescent="0.2">
      <c r="B186" s="29" t="s">
        <v>496</v>
      </c>
      <c r="C186" s="34" t="s">
        <v>497</v>
      </c>
      <c r="D186" s="34">
        <v>2240</v>
      </c>
      <c r="E186" s="32">
        <v>360</v>
      </c>
      <c r="F186" s="32"/>
      <c r="G186" s="32">
        <f t="shared" si="5"/>
        <v>360</v>
      </c>
      <c r="H186" s="32"/>
      <c r="I186" s="32"/>
      <c r="J186" s="32"/>
      <c r="K186" s="32">
        <v>1799.14</v>
      </c>
      <c r="L186" s="33"/>
      <c r="M186" s="33"/>
      <c r="N186" s="32"/>
      <c r="O186" s="32"/>
      <c r="P186" s="32"/>
      <c r="Q186" s="32"/>
      <c r="R186" s="32"/>
      <c r="S186" s="32"/>
      <c r="T186" s="32"/>
      <c r="U186" s="32">
        <v>700</v>
      </c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F186" s="32"/>
      <c r="AG186" s="32" t="s">
        <v>199</v>
      </c>
      <c r="AH186" s="35">
        <v>500</v>
      </c>
      <c r="AI186" s="32"/>
      <c r="AJ186" s="32"/>
      <c r="AK186" s="32"/>
      <c r="AL186" s="37"/>
    </row>
    <row r="187" spans="2:38" s="28" customFormat="1" ht="75" x14ac:dyDescent="0.2">
      <c r="B187" s="29" t="s">
        <v>498</v>
      </c>
      <c r="C187" s="34" t="s">
        <v>499</v>
      </c>
      <c r="D187" s="34">
        <v>2240</v>
      </c>
      <c r="E187" s="32"/>
      <c r="F187" s="32"/>
      <c r="G187" s="32"/>
      <c r="H187" s="32"/>
      <c r="I187" s="32"/>
      <c r="J187" s="32"/>
      <c r="K187" s="32"/>
      <c r="L187" s="33"/>
      <c r="M187" s="33"/>
      <c r="N187" s="32"/>
      <c r="O187" s="32"/>
      <c r="P187" s="32"/>
      <c r="Q187" s="39" t="s">
        <v>500</v>
      </c>
      <c r="R187" s="32"/>
      <c r="S187" s="32"/>
      <c r="T187" s="32"/>
      <c r="U187" s="32"/>
      <c r="V187" s="32"/>
      <c r="W187" s="32"/>
      <c r="X187" s="32"/>
      <c r="Y187" s="32"/>
      <c r="Z187" s="32"/>
      <c r="AA187" s="32"/>
      <c r="AB187" s="32"/>
      <c r="AC187" s="32"/>
      <c r="AD187" s="32"/>
      <c r="AE187" s="32"/>
      <c r="AF187" s="32"/>
      <c r="AG187" s="32" t="s">
        <v>501</v>
      </c>
      <c r="AH187" s="35">
        <v>11565.6</v>
      </c>
      <c r="AI187" s="32"/>
      <c r="AJ187" s="32"/>
      <c r="AK187" s="32"/>
      <c r="AL187" s="37"/>
    </row>
    <row r="188" spans="2:38" s="28" customFormat="1" ht="45" x14ac:dyDescent="0.2">
      <c r="B188" s="29" t="s">
        <v>502</v>
      </c>
      <c r="C188" s="34" t="s">
        <v>503</v>
      </c>
      <c r="D188" s="34">
        <v>2240</v>
      </c>
      <c r="E188" s="32"/>
      <c r="F188" s="32">
        <v>5000</v>
      </c>
      <c r="G188" s="32">
        <f t="shared" si="5"/>
        <v>5000</v>
      </c>
      <c r="H188" s="44"/>
      <c r="I188" s="32"/>
      <c r="J188" s="32"/>
      <c r="K188" s="32"/>
      <c r="L188" s="33"/>
      <c r="M188" s="33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A188" s="32"/>
      <c r="AB188" s="35"/>
      <c r="AC188" s="32"/>
      <c r="AD188" s="32"/>
      <c r="AE188" s="32"/>
      <c r="AF188" s="32"/>
      <c r="AG188" s="32" t="s">
        <v>177</v>
      </c>
      <c r="AH188" s="35">
        <v>1000</v>
      </c>
      <c r="AI188" s="32"/>
      <c r="AJ188" s="32"/>
      <c r="AK188" s="32"/>
      <c r="AL188" s="37"/>
    </row>
    <row r="189" spans="2:38" s="28" customFormat="1" ht="45" x14ac:dyDescent="0.2">
      <c r="B189" s="29" t="s">
        <v>504</v>
      </c>
      <c r="C189" s="34" t="s">
        <v>505</v>
      </c>
      <c r="D189" s="34">
        <v>2240</v>
      </c>
      <c r="E189" s="32"/>
      <c r="F189" s="32">
        <v>15600</v>
      </c>
      <c r="G189" s="32">
        <f t="shared" si="5"/>
        <v>15600</v>
      </c>
      <c r="H189" s="44"/>
      <c r="I189" s="32"/>
      <c r="J189" s="32"/>
      <c r="K189" s="32"/>
      <c r="L189" s="33"/>
      <c r="M189" s="33"/>
      <c r="N189" s="32"/>
      <c r="O189" s="32"/>
      <c r="P189" s="32"/>
      <c r="Q189" s="39" t="s">
        <v>506</v>
      </c>
      <c r="R189" s="32"/>
      <c r="S189" s="32"/>
      <c r="T189" s="32"/>
      <c r="U189" s="32"/>
      <c r="V189" s="32"/>
      <c r="W189" s="32"/>
      <c r="X189" s="32"/>
      <c r="Y189" s="32"/>
      <c r="Z189" s="32"/>
      <c r="AA189" s="32"/>
      <c r="AB189" s="32"/>
      <c r="AC189" s="32"/>
      <c r="AD189" s="32"/>
      <c r="AE189" s="32"/>
      <c r="AF189" s="32"/>
      <c r="AG189" s="32" t="s">
        <v>507</v>
      </c>
      <c r="AH189" s="35">
        <v>2400</v>
      </c>
      <c r="AI189" s="32"/>
      <c r="AJ189" s="32"/>
      <c r="AK189" s="32"/>
      <c r="AL189" s="37"/>
    </row>
    <row r="190" spans="2:38" s="28" customFormat="1" ht="30" x14ac:dyDescent="0.2">
      <c r="B190" s="29" t="s">
        <v>508</v>
      </c>
      <c r="C190" s="34" t="s">
        <v>509</v>
      </c>
      <c r="D190" s="34">
        <v>2240</v>
      </c>
      <c r="E190" s="32"/>
      <c r="F190" s="32"/>
      <c r="G190" s="32"/>
      <c r="H190" s="44"/>
      <c r="I190" s="32"/>
      <c r="J190" s="32"/>
      <c r="K190" s="32"/>
      <c r="L190" s="33"/>
      <c r="M190" s="33"/>
      <c r="N190" s="32"/>
      <c r="O190" s="32"/>
      <c r="P190" s="32"/>
      <c r="Q190" s="39"/>
      <c r="R190" s="32"/>
      <c r="S190" s="32"/>
      <c r="T190" s="32"/>
      <c r="U190" s="32"/>
      <c r="V190" s="32"/>
      <c r="W190" s="32"/>
      <c r="X190" s="32"/>
      <c r="Y190" s="32">
        <v>3600</v>
      </c>
      <c r="Z190" s="32">
        <v>400</v>
      </c>
      <c r="AA190" s="32"/>
      <c r="AB190" s="32"/>
      <c r="AC190" s="32"/>
      <c r="AD190" s="32"/>
      <c r="AE190" s="32"/>
      <c r="AF190" s="32"/>
      <c r="AG190" s="32" t="s">
        <v>105</v>
      </c>
      <c r="AH190" s="35">
        <v>2000</v>
      </c>
      <c r="AI190" s="32"/>
      <c r="AJ190" s="32"/>
      <c r="AK190" s="32"/>
      <c r="AL190" s="37"/>
    </row>
    <row r="191" spans="2:38" s="28" customFormat="1" ht="30" x14ac:dyDescent="0.2">
      <c r="B191" s="29" t="s">
        <v>510</v>
      </c>
      <c r="C191" s="34" t="s">
        <v>511</v>
      </c>
      <c r="D191" s="34">
        <v>2240</v>
      </c>
      <c r="E191" s="32"/>
      <c r="F191" s="32">
        <v>6000</v>
      </c>
      <c r="G191" s="32">
        <f>E191+F191</f>
        <v>6000</v>
      </c>
      <c r="H191" s="44"/>
      <c r="I191" s="32"/>
      <c r="J191" s="32"/>
      <c r="K191" s="32"/>
      <c r="L191" s="33"/>
      <c r="M191" s="33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  <c r="AA191" s="32"/>
      <c r="AB191" s="35"/>
      <c r="AC191" s="32"/>
      <c r="AD191" s="32"/>
      <c r="AE191" s="32"/>
      <c r="AF191" s="32"/>
      <c r="AG191" s="32" t="s">
        <v>105</v>
      </c>
      <c r="AH191" s="35">
        <v>2000</v>
      </c>
      <c r="AI191" s="32"/>
      <c r="AJ191" s="32"/>
      <c r="AK191" s="32"/>
      <c r="AL191" s="37"/>
    </row>
    <row r="192" spans="2:38" s="28" customFormat="1" ht="45" x14ac:dyDescent="0.2">
      <c r="B192" s="29" t="s">
        <v>512</v>
      </c>
      <c r="C192" s="34" t="s">
        <v>513</v>
      </c>
      <c r="D192" s="34">
        <v>2240</v>
      </c>
      <c r="E192" s="32">
        <v>3000</v>
      </c>
      <c r="F192" s="32">
        <v>18140</v>
      </c>
      <c r="G192" s="32">
        <f t="shared" si="5"/>
        <v>21140</v>
      </c>
      <c r="H192" s="44"/>
      <c r="I192" s="32"/>
      <c r="J192" s="32"/>
      <c r="K192" s="32"/>
      <c r="L192" s="33"/>
      <c r="M192" s="33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  <c r="AA192" s="32"/>
      <c r="AB192" s="32"/>
      <c r="AC192" s="32"/>
      <c r="AD192" s="32"/>
      <c r="AE192" s="32"/>
      <c r="AF192" s="32"/>
      <c r="AG192" s="32" t="s">
        <v>325</v>
      </c>
      <c r="AH192" s="35">
        <v>15000</v>
      </c>
      <c r="AI192" s="32"/>
      <c r="AJ192" s="32"/>
      <c r="AK192" s="32"/>
      <c r="AL192" s="37"/>
    </row>
    <row r="193" spans="2:42" s="28" customFormat="1" ht="45" x14ac:dyDescent="0.2">
      <c r="B193" s="29" t="s">
        <v>514</v>
      </c>
      <c r="C193" s="34" t="s">
        <v>515</v>
      </c>
      <c r="D193" s="34">
        <v>2240</v>
      </c>
      <c r="E193" s="32"/>
      <c r="F193" s="32">
        <v>14300</v>
      </c>
      <c r="G193" s="32">
        <f t="shared" si="5"/>
        <v>14300</v>
      </c>
      <c r="H193" s="44"/>
      <c r="I193" s="32"/>
      <c r="J193" s="32">
        <v>6802.21</v>
      </c>
      <c r="K193" s="32">
        <v>5131.8100000000004</v>
      </c>
      <c r="L193" s="33"/>
      <c r="M193" s="33"/>
      <c r="N193" s="32">
        <v>3357.55</v>
      </c>
      <c r="O193" s="32"/>
      <c r="P193" s="39" t="s">
        <v>516</v>
      </c>
      <c r="Q193" s="32"/>
      <c r="R193" s="32"/>
      <c r="S193" s="39" t="s">
        <v>517</v>
      </c>
      <c r="T193" s="32"/>
      <c r="U193" s="32"/>
      <c r="V193" s="32"/>
      <c r="W193" s="32"/>
      <c r="X193" s="32">
        <v>15009.44</v>
      </c>
      <c r="Y193" s="32">
        <v>3544</v>
      </c>
      <c r="Z193" s="32"/>
      <c r="AA193" s="32">
        <v>4322</v>
      </c>
      <c r="AB193" s="32">
        <f>4600-354.4</f>
        <v>4245.6000000000004</v>
      </c>
      <c r="AC193" s="32">
        <v>5000</v>
      </c>
      <c r="AD193" s="32"/>
      <c r="AE193" s="32"/>
      <c r="AF193" s="32"/>
      <c r="AG193" s="32" t="s">
        <v>518</v>
      </c>
      <c r="AH193" s="35">
        <v>75000</v>
      </c>
      <c r="AI193" s="32"/>
      <c r="AJ193" s="32"/>
      <c r="AK193" s="32"/>
      <c r="AL193" s="37"/>
    </row>
    <row r="194" spans="2:42" s="28" customFormat="1" ht="15" hidden="1" x14ac:dyDescent="0.2">
      <c r="B194" s="29" t="s">
        <v>519</v>
      </c>
      <c r="C194" s="34" t="s">
        <v>520</v>
      </c>
      <c r="D194" s="34">
        <v>2240</v>
      </c>
      <c r="E194" s="32"/>
      <c r="F194" s="39"/>
      <c r="G194" s="32"/>
      <c r="H194" s="40"/>
      <c r="I194" s="32"/>
      <c r="J194" s="32"/>
      <c r="K194" s="32">
        <v>2982</v>
      </c>
      <c r="L194" s="33"/>
      <c r="M194" s="33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  <c r="AA194" s="32"/>
      <c r="AB194" s="32"/>
      <c r="AC194" s="32"/>
      <c r="AD194" s="32"/>
      <c r="AE194" s="32"/>
      <c r="AF194" s="32"/>
      <c r="AG194" s="32"/>
      <c r="AH194" s="35"/>
      <c r="AI194" s="32"/>
      <c r="AJ194" s="32"/>
      <c r="AK194" s="32"/>
      <c r="AL194" s="63"/>
    </row>
    <row r="195" spans="2:42" s="28" customFormat="1" ht="75.75" customHeight="1" x14ac:dyDescent="0.2">
      <c r="B195" s="48" t="s">
        <v>521</v>
      </c>
      <c r="C195" s="34"/>
      <c r="D195" s="34"/>
      <c r="E195" s="41">
        <f>SUM(E163:E194)</f>
        <v>20000</v>
      </c>
      <c r="F195" s="41" t="e">
        <f>SUM(F163:F194)</f>
        <v>#REF!</v>
      </c>
      <c r="G195" s="41">
        <f>SUM(G163:G194)</f>
        <v>238596</v>
      </c>
      <c r="H195" s="44"/>
      <c r="I195" s="32"/>
      <c r="J195" s="32"/>
      <c r="K195" s="32"/>
      <c r="L195" s="33"/>
      <c r="M195" s="33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  <c r="AA195" s="32"/>
      <c r="AB195" s="32"/>
      <c r="AC195" s="32"/>
      <c r="AD195" s="32"/>
      <c r="AE195" s="32"/>
      <c r="AF195" s="32"/>
      <c r="AG195" s="41" t="s">
        <v>522</v>
      </c>
      <c r="AH195" s="49">
        <f>SUM(AH163:AH193)</f>
        <v>334311.69</v>
      </c>
      <c r="AI195" s="41"/>
      <c r="AJ195" s="32"/>
      <c r="AK195" s="32"/>
      <c r="AL195" s="50"/>
    </row>
    <row r="196" spans="2:42" s="28" customFormat="1" ht="45" x14ac:dyDescent="0.2">
      <c r="B196" s="29" t="s">
        <v>64</v>
      </c>
      <c r="C196" s="32" t="s">
        <v>65</v>
      </c>
      <c r="D196" s="34">
        <v>2250</v>
      </c>
      <c r="E196" s="32"/>
      <c r="F196" s="39"/>
      <c r="G196" s="32">
        <f t="shared" ref="G196" si="6">E196+F196</f>
        <v>0</v>
      </c>
      <c r="H196" s="40"/>
      <c r="I196" s="32"/>
      <c r="J196" s="32"/>
      <c r="K196" s="32">
        <v>1000</v>
      </c>
      <c r="L196" s="33"/>
      <c r="M196" s="33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F196" s="32"/>
      <c r="AG196" s="32" t="s">
        <v>523</v>
      </c>
      <c r="AH196" s="35">
        <v>520</v>
      </c>
      <c r="AI196" s="32"/>
      <c r="AJ196" s="32"/>
      <c r="AK196" s="32"/>
      <c r="AL196" s="42"/>
    </row>
    <row r="197" spans="2:42" s="28" customFormat="1" ht="43.5" x14ac:dyDescent="0.2">
      <c r="B197" s="48" t="s">
        <v>524</v>
      </c>
      <c r="C197" s="32"/>
      <c r="D197" s="34"/>
      <c r="E197" s="41">
        <f t="shared" ref="E197:AA197" si="7">SUM(E162:E194)</f>
        <v>20000</v>
      </c>
      <c r="F197" s="41" t="e">
        <f t="shared" si="7"/>
        <v>#REF!</v>
      </c>
      <c r="G197" s="41">
        <f t="shared" si="7"/>
        <v>238596</v>
      </c>
      <c r="H197" s="41">
        <f t="shared" si="7"/>
        <v>0</v>
      </c>
      <c r="I197" s="41">
        <f t="shared" si="7"/>
        <v>3388.12</v>
      </c>
      <c r="J197" s="41">
        <f t="shared" si="7"/>
        <v>6802.21</v>
      </c>
      <c r="K197" s="41">
        <f t="shared" si="7"/>
        <v>34612.949999999997</v>
      </c>
      <c r="L197" s="41">
        <f t="shared" si="7"/>
        <v>0</v>
      </c>
      <c r="M197" s="41">
        <f t="shared" si="7"/>
        <v>2150</v>
      </c>
      <c r="N197" s="41">
        <f t="shared" si="7"/>
        <v>4316.6500000000005</v>
      </c>
      <c r="O197" s="41">
        <f t="shared" si="7"/>
        <v>11788.5</v>
      </c>
      <c r="P197" s="41">
        <f t="shared" si="7"/>
        <v>0</v>
      </c>
      <c r="Q197" s="41">
        <f t="shared" si="7"/>
        <v>0</v>
      </c>
      <c r="R197" s="41">
        <f t="shared" si="7"/>
        <v>0</v>
      </c>
      <c r="S197" s="41">
        <f t="shared" si="7"/>
        <v>3996</v>
      </c>
      <c r="T197" s="41">
        <f t="shared" si="7"/>
        <v>1000</v>
      </c>
      <c r="U197" s="41">
        <f t="shared" si="7"/>
        <v>20660</v>
      </c>
      <c r="V197" s="41">
        <f t="shared" si="7"/>
        <v>810</v>
      </c>
      <c r="W197" s="41">
        <f t="shared" si="7"/>
        <v>2404.56</v>
      </c>
      <c r="X197" s="41">
        <f t="shared" si="7"/>
        <v>15009.44</v>
      </c>
      <c r="Y197" s="41">
        <f t="shared" si="7"/>
        <v>8244</v>
      </c>
      <c r="Z197" s="41">
        <f t="shared" si="7"/>
        <v>11658.9</v>
      </c>
      <c r="AA197" s="41">
        <f t="shared" si="7"/>
        <v>8900</v>
      </c>
      <c r="AB197" s="32"/>
      <c r="AC197" s="32"/>
      <c r="AD197" s="32"/>
      <c r="AE197" s="32"/>
      <c r="AF197" s="32"/>
      <c r="AG197" s="41" t="s">
        <v>525</v>
      </c>
      <c r="AH197" s="49">
        <f>SUM(AH196)</f>
        <v>520</v>
      </c>
      <c r="AI197" s="41"/>
      <c r="AJ197" s="41"/>
      <c r="AK197" s="32"/>
      <c r="AL197" s="37"/>
      <c r="AN197" s="52"/>
      <c r="AO197" s="38"/>
      <c r="AP197" s="38"/>
    </row>
    <row r="198" spans="2:42" s="38" customFormat="1" ht="60" x14ac:dyDescent="0.2">
      <c r="B198" s="29" t="s">
        <v>526</v>
      </c>
      <c r="C198" s="34" t="s">
        <v>527</v>
      </c>
      <c r="D198" s="34">
        <v>2272</v>
      </c>
      <c r="E198" s="32"/>
      <c r="F198" s="32"/>
      <c r="G198" s="32"/>
      <c r="H198" s="44"/>
      <c r="I198" s="32"/>
      <c r="J198" s="32"/>
      <c r="K198" s="32"/>
      <c r="L198" s="33"/>
      <c r="M198" s="33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  <c r="AA198" s="32"/>
      <c r="AB198" s="32">
        <v>2547.41</v>
      </c>
      <c r="AC198" s="32"/>
      <c r="AD198" s="32"/>
      <c r="AE198" s="32"/>
      <c r="AF198" s="32"/>
      <c r="AG198" s="32" t="s">
        <v>528</v>
      </c>
      <c r="AH198" s="35">
        <v>66400</v>
      </c>
      <c r="AI198" s="32"/>
      <c r="AJ198" s="32"/>
      <c r="AK198" s="32"/>
      <c r="AL198" s="63"/>
    </row>
    <row r="199" spans="2:42" s="38" customFormat="1" ht="57" x14ac:dyDescent="0.2">
      <c r="B199" s="48" t="s">
        <v>529</v>
      </c>
      <c r="C199" s="64"/>
      <c r="D199" s="3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 t="s">
        <v>528</v>
      </c>
      <c r="AH199" s="49">
        <f>SUM(AH198)</f>
        <v>66400</v>
      </c>
      <c r="AI199" s="41"/>
      <c r="AJ199" s="32"/>
      <c r="AK199" s="32"/>
      <c r="AL199" s="63"/>
    </row>
    <row r="200" spans="2:42" s="28" customFormat="1" ht="57" customHeight="1" x14ac:dyDescent="0.2">
      <c r="B200" s="29" t="s">
        <v>496</v>
      </c>
      <c r="C200" s="34" t="s">
        <v>497</v>
      </c>
      <c r="D200" s="34">
        <v>2282</v>
      </c>
      <c r="E200" s="32"/>
      <c r="F200" s="32">
        <v>8000</v>
      </c>
      <c r="G200" s="32">
        <f>E200+F200</f>
        <v>8000</v>
      </c>
      <c r="H200" s="32"/>
      <c r="I200" s="32"/>
      <c r="J200" s="32"/>
      <c r="K200" s="32"/>
      <c r="L200" s="33"/>
      <c r="M200" s="33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  <c r="AA200" s="32"/>
      <c r="AB200" s="32"/>
      <c r="AC200" s="32"/>
      <c r="AD200" s="32"/>
      <c r="AE200" s="32"/>
      <c r="AF200" s="32"/>
      <c r="AG200" s="32" t="s">
        <v>530</v>
      </c>
      <c r="AH200" s="35">
        <f>3000+1300+1161.4</f>
        <v>5461.4</v>
      </c>
      <c r="AI200" s="32"/>
      <c r="AJ200" s="32"/>
      <c r="AK200" s="32"/>
      <c r="AL200" s="42"/>
    </row>
    <row r="201" spans="2:42" s="28" customFormat="1" ht="45" x14ac:dyDescent="0.2">
      <c r="B201" s="29" t="s">
        <v>531</v>
      </c>
      <c r="C201" s="34" t="s">
        <v>532</v>
      </c>
      <c r="D201" s="34">
        <v>2282</v>
      </c>
      <c r="E201" s="32"/>
      <c r="F201" s="32"/>
      <c r="G201" s="32"/>
      <c r="H201" s="44"/>
      <c r="I201" s="32"/>
      <c r="J201" s="32"/>
      <c r="K201" s="32"/>
      <c r="L201" s="33"/>
      <c r="M201" s="33"/>
      <c r="N201" s="32"/>
      <c r="O201" s="32"/>
      <c r="P201" s="32"/>
      <c r="Q201" s="39"/>
      <c r="R201" s="32"/>
      <c r="S201" s="32"/>
      <c r="T201" s="32"/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F201" s="32"/>
      <c r="AG201" s="32" t="s">
        <v>533</v>
      </c>
      <c r="AH201" s="35">
        <v>480</v>
      </c>
      <c r="AI201" s="32"/>
      <c r="AJ201" s="32"/>
      <c r="AK201" s="32"/>
      <c r="AL201" s="62" t="s">
        <v>534</v>
      </c>
    </row>
    <row r="202" spans="2:42" s="28" customFormat="1" ht="58.5" x14ac:dyDescent="0.2">
      <c r="B202" s="48" t="s">
        <v>535</v>
      </c>
      <c r="C202" s="55"/>
      <c r="D202" s="44"/>
      <c r="E202" s="41" t="e">
        <f>SUM(#REF!)</f>
        <v>#REF!</v>
      </c>
      <c r="F202" s="41">
        <f>SUM(F200:F200)</f>
        <v>8000</v>
      </c>
      <c r="G202" s="41">
        <f>SUM(G200:G200)</f>
        <v>8000</v>
      </c>
      <c r="H202" s="44"/>
      <c r="I202" s="32"/>
      <c r="J202" s="32"/>
      <c r="K202" s="32"/>
      <c r="L202" s="33"/>
      <c r="M202" s="33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F202" s="32"/>
      <c r="AG202" s="41" t="s">
        <v>536</v>
      </c>
      <c r="AH202" s="49">
        <f>SUM(AH200:AH201)</f>
        <v>5941.4</v>
      </c>
      <c r="AI202" s="41"/>
      <c r="AJ202" s="32"/>
      <c r="AK202" s="32"/>
      <c r="AL202" s="37"/>
    </row>
    <row r="203" spans="2:42" s="28" customFormat="1" ht="75" hidden="1" x14ac:dyDescent="0.2">
      <c r="B203" s="29" t="s">
        <v>537</v>
      </c>
      <c r="C203" s="34" t="s">
        <v>538</v>
      </c>
      <c r="D203" s="34">
        <v>2800</v>
      </c>
      <c r="E203" s="41"/>
      <c r="F203" s="41"/>
      <c r="G203" s="41"/>
      <c r="H203" s="44"/>
      <c r="I203" s="32"/>
      <c r="J203" s="32"/>
      <c r="K203" s="32"/>
      <c r="L203" s="33"/>
      <c r="M203" s="33"/>
      <c r="N203" s="32"/>
      <c r="O203" s="32"/>
      <c r="P203" s="32"/>
      <c r="Q203" s="32"/>
      <c r="R203" s="32"/>
      <c r="S203" s="32"/>
      <c r="T203" s="32"/>
      <c r="U203" s="32"/>
      <c r="V203" s="32">
        <v>1700</v>
      </c>
      <c r="W203" s="32"/>
      <c r="X203" s="32"/>
      <c r="Y203" s="32"/>
      <c r="Z203" s="32"/>
      <c r="AA203" s="32"/>
      <c r="AB203" s="32"/>
      <c r="AC203" s="32"/>
      <c r="AD203" s="32"/>
      <c r="AE203" s="32"/>
      <c r="AF203" s="32"/>
      <c r="AG203" s="32" t="s">
        <v>539</v>
      </c>
      <c r="AH203" s="35"/>
      <c r="AI203" s="32"/>
      <c r="AJ203" s="32"/>
      <c r="AK203" s="32"/>
      <c r="AL203" s="50"/>
    </row>
    <row r="204" spans="2:42" s="28" customFormat="1" ht="45" hidden="1" x14ac:dyDescent="0.2">
      <c r="B204" s="48" t="s">
        <v>540</v>
      </c>
      <c r="C204" s="55"/>
      <c r="D204" s="34"/>
      <c r="E204" s="41"/>
      <c r="F204" s="41"/>
      <c r="G204" s="41"/>
      <c r="H204" s="44"/>
      <c r="I204" s="32"/>
      <c r="J204" s="32"/>
      <c r="K204" s="32"/>
      <c r="L204" s="33"/>
      <c r="M204" s="33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  <c r="AA204" s="32"/>
      <c r="AB204" s="32"/>
      <c r="AC204" s="32"/>
      <c r="AD204" s="32"/>
      <c r="AE204" s="32"/>
      <c r="AF204" s="32"/>
      <c r="AG204" s="32" t="s">
        <v>539</v>
      </c>
      <c r="AH204" s="49"/>
      <c r="AI204" s="41"/>
      <c r="AJ204" s="32"/>
      <c r="AK204" s="32"/>
      <c r="AL204" s="50"/>
    </row>
    <row r="205" spans="2:42" s="28" customFormat="1" ht="45" x14ac:dyDescent="0.2">
      <c r="B205" s="29" t="s">
        <v>204</v>
      </c>
      <c r="C205" s="34" t="s">
        <v>205</v>
      </c>
      <c r="D205" s="34">
        <v>3110</v>
      </c>
      <c r="E205" s="32"/>
      <c r="F205" s="39"/>
      <c r="G205" s="32"/>
      <c r="H205" s="40"/>
      <c r="I205" s="32"/>
      <c r="J205" s="32"/>
      <c r="K205" s="32"/>
      <c r="L205" s="32"/>
      <c r="M205" s="33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>
        <v>3839</v>
      </c>
      <c r="Y205" s="32"/>
      <c r="Z205" s="32"/>
      <c r="AA205" s="32"/>
      <c r="AB205" s="32"/>
      <c r="AC205" s="32">
        <v>5000</v>
      </c>
      <c r="AD205" s="32"/>
      <c r="AE205" s="32"/>
      <c r="AF205" s="32"/>
      <c r="AG205" s="32" t="s">
        <v>541</v>
      </c>
      <c r="AH205" s="35">
        <v>22600</v>
      </c>
      <c r="AI205" s="32"/>
      <c r="AJ205" s="32"/>
      <c r="AK205" s="32"/>
      <c r="AL205" s="37"/>
    </row>
    <row r="206" spans="2:42" s="28" customFormat="1" ht="57" x14ac:dyDescent="0.2">
      <c r="B206" s="48" t="s">
        <v>542</v>
      </c>
      <c r="C206" s="55"/>
      <c r="D206" s="44"/>
      <c r="E206" s="41" t="e">
        <f>SUM(E202:E204)</f>
        <v>#REF!</v>
      </c>
      <c r="F206" s="41" t="e">
        <f>SUM(#REF!)</f>
        <v>#REF!</v>
      </c>
      <c r="G206" s="41" t="e">
        <f>SUM(#REF!)</f>
        <v>#REF!</v>
      </c>
      <c r="H206" s="44"/>
      <c r="I206" s="32"/>
      <c r="J206" s="32"/>
      <c r="K206" s="32"/>
      <c r="L206" s="32"/>
      <c r="M206" s="33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  <c r="AA206" s="32"/>
      <c r="AB206" s="32"/>
      <c r="AC206" s="32"/>
      <c r="AD206" s="32"/>
      <c r="AE206" s="32"/>
      <c r="AF206" s="32"/>
      <c r="AG206" s="41" t="s">
        <v>541</v>
      </c>
      <c r="AH206" s="49">
        <f>SUM(AH205)</f>
        <v>22600</v>
      </c>
      <c r="AI206" s="41"/>
      <c r="AJ206" s="32"/>
      <c r="AK206" s="32"/>
      <c r="AL206" s="65"/>
    </row>
    <row r="207" spans="2:42" s="28" customFormat="1" ht="16.899999999999999" customHeight="1" x14ac:dyDescent="0.2">
      <c r="B207" s="66" t="s">
        <v>543</v>
      </c>
      <c r="C207" s="67"/>
      <c r="D207" s="67"/>
      <c r="E207" s="67"/>
      <c r="F207" s="67"/>
      <c r="G207" s="67"/>
      <c r="H207" s="44"/>
      <c r="I207" s="32"/>
      <c r="J207" s="32"/>
      <c r="K207" s="32"/>
      <c r="L207" s="33"/>
      <c r="M207" s="33"/>
      <c r="N207" s="33"/>
      <c r="O207" s="33"/>
      <c r="P207" s="33"/>
      <c r="Q207" s="33"/>
      <c r="R207" s="33"/>
      <c r="S207" s="33"/>
      <c r="T207" s="32"/>
      <c r="U207" s="32"/>
      <c r="V207" s="32"/>
      <c r="W207" s="32"/>
      <c r="X207" s="33"/>
      <c r="Y207" s="33"/>
      <c r="Z207" s="33"/>
      <c r="AA207" s="33"/>
      <c r="AB207" s="33"/>
      <c r="AC207" s="33"/>
      <c r="AD207" s="33"/>
      <c r="AE207" s="33"/>
      <c r="AF207" s="33"/>
      <c r="AG207" s="32"/>
      <c r="AH207" s="35"/>
      <c r="AI207" s="32"/>
      <c r="AJ207" s="32"/>
      <c r="AK207" s="32"/>
      <c r="AL207" s="50"/>
    </row>
    <row r="208" spans="2:42" s="28" customFormat="1" ht="187.15" hidden="1" customHeight="1" x14ac:dyDescent="0.2">
      <c r="B208" s="29" t="s">
        <v>61</v>
      </c>
      <c r="C208" s="34" t="s">
        <v>62</v>
      </c>
      <c r="D208" s="34">
        <v>2210</v>
      </c>
      <c r="E208" s="32">
        <v>5000</v>
      </c>
      <c r="F208" s="32"/>
      <c r="G208" s="32">
        <f>E208+F208</f>
        <v>5000</v>
      </c>
      <c r="H208" s="33"/>
      <c r="I208" s="33"/>
      <c r="J208" s="33"/>
      <c r="K208" s="33"/>
      <c r="L208" s="33"/>
      <c r="M208" s="33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F208" s="32"/>
      <c r="AG208" s="32"/>
      <c r="AH208" s="35"/>
      <c r="AI208" s="32"/>
      <c r="AJ208" s="32"/>
      <c r="AK208" s="32"/>
      <c r="AL208" s="50"/>
      <c r="AM208" s="28">
        <v>42000</v>
      </c>
    </row>
    <row r="209" spans="1:64" s="28" customFormat="1" ht="58.5" customHeight="1" x14ac:dyDescent="0.2">
      <c r="B209" s="29" t="s">
        <v>76</v>
      </c>
      <c r="C209" s="34" t="s">
        <v>77</v>
      </c>
      <c r="D209" s="34">
        <v>2210</v>
      </c>
      <c r="E209" s="32">
        <v>5000</v>
      </c>
      <c r="F209" s="32"/>
      <c r="G209" s="32">
        <f t="shared" ref="G209:G210" si="8">E209+F209</f>
        <v>5000</v>
      </c>
      <c r="H209" s="32"/>
      <c r="I209" s="32"/>
      <c r="J209" s="32"/>
      <c r="K209" s="32"/>
      <c r="L209" s="33"/>
      <c r="M209" s="33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  <c r="AA209" s="32"/>
      <c r="AB209" s="32"/>
      <c r="AC209" s="32"/>
      <c r="AD209" s="32"/>
      <c r="AE209" s="32"/>
      <c r="AF209" s="32"/>
      <c r="AG209" s="32" t="s">
        <v>66</v>
      </c>
      <c r="AH209" s="35">
        <v>10000</v>
      </c>
      <c r="AI209" s="32"/>
      <c r="AJ209" s="32"/>
      <c r="AK209" s="32"/>
      <c r="AL209" s="50"/>
    </row>
    <row r="210" spans="1:64" s="28" customFormat="1" ht="66" customHeight="1" x14ac:dyDescent="0.2">
      <c r="B210" s="29" t="s">
        <v>290</v>
      </c>
      <c r="C210" s="34" t="s">
        <v>291</v>
      </c>
      <c r="D210" s="34">
        <v>2210</v>
      </c>
      <c r="E210" s="32">
        <v>56000</v>
      </c>
      <c r="F210" s="32"/>
      <c r="G210" s="32">
        <f t="shared" si="8"/>
        <v>56000</v>
      </c>
      <c r="H210" s="44"/>
      <c r="I210" s="32"/>
      <c r="J210" s="32"/>
      <c r="K210" s="32"/>
      <c r="L210" s="32"/>
      <c r="M210" s="36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  <c r="AA210" s="32">
        <v>16867.810000000001</v>
      </c>
      <c r="AB210" s="32"/>
      <c r="AC210" s="32"/>
      <c r="AD210" s="32"/>
      <c r="AE210" s="32"/>
      <c r="AF210" s="32"/>
      <c r="AG210" s="32" t="s">
        <v>544</v>
      </c>
      <c r="AH210" s="35">
        <v>32000</v>
      </c>
      <c r="AI210" s="32"/>
      <c r="AJ210" s="33"/>
      <c r="AK210" s="32"/>
      <c r="AL210" s="50"/>
    </row>
    <row r="211" spans="1:64" s="28" customFormat="1" ht="31.15" hidden="1" customHeight="1" x14ac:dyDescent="0.2">
      <c r="B211" s="29" t="s">
        <v>94</v>
      </c>
      <c r="C211" s="34" t="s">
        <v>95</v>
      </c>
      <c r="D211" s="34">
        <v>2210</v>
      </c>
      <c r="E211" s="32">
        <f>12000+3000</f>
        <v>15000</v>
      </c>
      <c r="F211" s="33"/>
      <c r="G211" s="32">
        <f>E211+F211</f>
        <v>15000</v>
      </c>
      <c r="H211" s="33"/>
      <c r="I211" s="41"/>
      <c r="J211" s="32"/>
      <c r="K211" s="32"/>
      <c r="L211" s="32"/>
      <c r="M211" s="36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F211" s="32"/>
      <c r="AG211" s="32"/>
      <c r="AH211" s="35"/>
      <c r="AI211" s="32"/>
      <c r="AJ211" s="32"/>
      <c r="AK211" s="32"/>
      <c r="AL211" s="37"/>
    </row>
    <row r="212" spans="1:64" s="28" customFormat="1" ht="15.6" hidden="1" customHeight="1" x14ac:dyDescent="0.2">
      <c r="B212" s="29" t="s">
        <v>315</v>
      </c>
      <c r="C212" s="34" t="s">
        <v>113</v>
      </c>
      <c r="D212" s="34">
        <v>2210</v>
      </c>
      <c r="E212" s="32">
        <v>15000</v>
      </c>
      <c r="F212" s="32"/>
      <c r="G212" s="32">
        <f t="shared" ref="G212:G214" si="9">E212+F212</f>
        <v>15000</v>
      </c>
      <c r="H212" s="44"/>
      <c r="I212" s="32"/>
      <c r="J212" s="32"/>
      <c r="K212" s="32"/>
      <c r="L212" s="32"/>
      <c r="M212" s="36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  <c r="AA212" s="32"/>
      <c r="AB212" s="32"/>
      <c r="AC212" s="32"/>
      <c r="AD212" s="32"/>
      <c r="AE212" s="32"/>
      <c r="AF212" s="32"/>
      <c r="AG212" s="32"/>
      <c r="AH212" s="35"/>
      <c r="AI212" s="32"/>
      <c r="AJ212" s="32"/>
      <c r="AK212" s="32"/>
      <c r="AL212" s="50"/>
    </row>
    <row r="213" spans="1:64" s="38" customFormat="1" ht="31.15" hidden="1" customHeight="1" x14ac:dyDescent="0.2">
      <c r="B213" s="29" t="s">
        <v>252</v>
      </c>
      <c r="C213" s="34" t="s">
        <v>253</v>
      </c>
      <c r="D213" s="34">
        <v>2210</v>
      </c>
      <c r="E213" s="32">
        <v>20000</v>
      </c>
      <c r="F213" s="33"/>
      <c r="G213" s="32">
        <f t="shared" si="9"/>
        <v>20000</v>
      </c>
      <c r="H213" s="33"/>
      <c r="I213" s="68"/>
      <c r="J213" s="33"/>
      <c r="K213" s="33"/>
      <c r="L213" s="33"/>
      <c r="M213" s="33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  <c r="AA213" s="32"/>
      <c r="AB213" s="32"/>
      <c r="AC213" s="32"/>
      <c r="AD213" s="32"/>
      <c r="AE213" s="32"/>
      <c r="AF213" s="32"/>
      <c r="AG213" s="32"/>
      <c r="AH213" s="35"/>
      <c r="AI213" s="32"/>
      <c r="AJ213" s="32"/>
      <c r="AK213" s="32"/>
      <c r="AL213" s="50"/>
    </row>
    <row r="214" spans="1:64" s="28" customFormat="1" ht="41.25" hidden="1" customHeight="1" x14ac:dyDescent="0.2">
      <c r="B214" s="29" t="s">
        <v>545</v>
      </c>
      <c r="C214" s="34" t="s">
        <v>546</v>
      </c>
      <c r="D214" s="34">
        <v>2210</v>
      </c>
      <c r="E214" s="32">
        <v>5000</v>
      </c>
      <c r="F214" s="33"/>
      <c r="G214" s="32">
        <f t="shared" si="9"/>
        <v>5000</v>
      </c>
      <c r="H214" s="33"/>
      <c r="I214" s="33"/>
      <c r="J214" s="33"/>
      <c r="K214" s="33"/>
      <c r="L214" s="33"/>
      <c r="M214" s="33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  <c r="AA214" s="32"/>
      <c r="AB214" s="32"/>
      <c r="AC214" s="32"/>
      <c r="AD214" s="32"/>
      <c r="AE214" s="32"/>
      <c r="AF214" s="32"/>
      <c r="AG214" s="32"/>
      <c r="AH214" s="35"/>
      <c r="AI214" s="32"/>
      <c r="AJ214" s="32"/>
      <c r="AK214" s="32"/>
      <c r="AL214" s="37"/>
    </row>
    <row r="215" spans="1:64" s="28" customFormat="1" ht="64.5" customHeight="1" x14ac:dyDescent="0.2">
      <c r="B215" s="29" t="s">
        <v>204</v>
      </c>
      <c r="C215" s="32" t="s">
        <v>205</v>
      </c>
      <c r="D215" s="34">
        <v>2210</v>
      </c>
      <c r="E215" s="69"/>
      <c r="F215" s="70"/>
      <c r="G215" s="69"/>
      <c r="H215" s="70"/>
      <c r="I215" s="70"/>
      <c r="J215" s="70"/>
      <c r="K215" s="70"/>
      <c r="L215" s="70"/>
      <c r="M215" s="70"/>
      <c r="N215" s="69"/>
      <c r="O215" s="69"/>
      <c r="P215" s="69"/>
      <c r="Q215" s="69"/>
      <c r="R215" s="69"/>
      <c r="S215" s="69"/>
      <c r="T215" s="69"/>
      <c r="U215" s="69"/>
      <c r="V215" s="69"/>
      <c r="W215" s="69"/>
      <c r="X215" s="69"/>
      <c r="Y215" s="69"/>
      <c r="Z215" s="69"/>
      <c r="AA215" s="69"/>
      <c r="AB215" s="69"/>
      <c r="AC215" s="69"/>
      <c r="AD215" s="69"/>
      <c r="AE215" s="69"/>
      <c r="AF215" s="69"/>
      <c r="AG215" s="69" t="s">
        <v>547</v>
      </c>
      <c r="AH215" s="71">
        <v>1282</v>
      </c>
      <c r="AI215" s="69"/>
      <c r="AJ215" s="69"/>
      <c r="AK215" s="69"/>
      <c r="AL215" s="72" t="s">
        <v>548</v>
      </c>
    </row>
    <row r="216" spans="1:64" s="38" customFormat="1" ht="74.25" customHeight="1" thickBot="1" x14ac:dyDescent="0.25">
      <c r="B216" s="73" t="s">
        <v>274</v>
      </c>
      <c r="C216" s="74"/>
      <c r="D216" s="75"/>
      <c r="E216" s="76">
        <f>SUM(E208:E214)</f>
        <v>121000</v>
      </c>
      <c r="F216" s="76"/>
      <c r="G216" s="76">
        <f>SUM(G208:G214)</f>
        <v>121000</v>
      </c>
      <c r="H216" s="77"/>
      <c r="I216" s="78"/>
      <c r="J216" s="77"/>
      <c r="K216" s="77"/>
      <c r="L216" s="77"/>
      <c r="M216" s="77"/>
      <c r="N216" s="79"/>
      <c r="O216" s="79"/>
      <c r="P216" s="79"/>
      <c r="Q216" s="79"/>
      <c r="R216" s="79"/>
      <c r="S216" s="79"/>
      <c r="T216" s="79"/>
      <c r="U216" s="79"/>
      <c r="V216" s="79"/>
      <c r="W216" s="79"/>
      <c r="X216" s="79"/>
      <c r="Y216" s="79"/>
      <c r="Z216" s="79"/>
      <c r="AA216" s="79"/>
      <c r="AB216" s="79"/>
      <c r="AC216" s="79"/>
      <c r="AD216" s="79"/>
      <c r="AE216" s="79"/>
      <c r="AF216" s="79"/>
      <c r="AG216" s="76" t="s">
        <v>549</v>
      </c>
      <c r="AH216" s="80">
        <f>SUM(AH209:AH215)</f>
        <v>43282</v>
      </c>
      <c r="AI216" s="76"/>
      <c r="AJ216" s="79"/>
      <c r="AK216" s="79"/>
      <c r="AL216" s="81"/>
    </row>
    <row r="217" spans="1:64" s="28" customFormat="1" ht="35.450000000000003" customHeight="1" x14ac:dyDescent="0.2">
      <c r="A217" s="38"/>
      <c r="B217" s="82" t="s">
        <v>550</v>
      </c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  <c r="AG217" s="82"/>
      <c r="AH217" s="82"/>
      <c r="AI217" s="82"/>
      <c r="AJ217" s="82"/>
      <c r="AK217" s="82"/>
      <c r="AL217" s="58"/>
    </row>
    <row r="218" spans="1:64" s="28" customFormat="1" ht="31.15" customHeight="1" x14ac:dyDescent="0.25">
      <c r="B218" s="83" t="s">
        <v>551</v>
      </c>
      <c r="C218" s="83"/>
      <c r="D218" s="84" t="s">
        <v>552</v>
      </c>
      <c r="E218" s="84"/>
      <c r="F218" s="84"/>
      <c r="G218" s="84"/>
      <c r="H218" s="84"/>
      <c r="I218" s="84"/>
      <c r="J218" s="84"/>
      <c r="K218" s="84"/>
      <c r="L218" s="84"/>
      <c r="M218" s="84"/>
      <c r="N218" s="84"/>
      <c r="O218" s="84"/>
      <c r="P218" s="84"/>
      <c r="Q218" s="84"/>
      <c r="R218" s="84"/>
      <c r="S218" s="84"/>
      <c r="T218" s="84"/>
      <c r="U218" s="84"/>
      <c r="V218" s="84"/>
      <c r="W218" s="84"/>
      <c r="X218" s="84"/>
      <c r="Y218" s="84"/>
      <c r="Z218" s="84"/>
      <c r="AA218" s="84"/>
      <c r="AB218" s="84"/>
      <c r="AC218" s="84"/>
      <c r="AD218" s="84"/>
      <c r="AE218" s="84"/>
      <c r="AF218" s="84"/>
      <c r="AG218" s="84"/>
      <c r="AH218" s="85"/>
      <c r="AI218" s="86"/>
      <c r="AJ218" s="58"/>
      <c r="AK218" s="58"/>
      <c r="AL218" s="87"/>
    </row>
    <row r="219" spans="1:64" s="28" customFormat="1" ht="15" x14ac:dyDescent="0.25">
      <c r="B219" s="88"/>
      <c r="C219" s="88"/>
      <c r="D219" s="89" t="s">
        <v>553</v>
      </c>
      <c r="E219" s="90"/>
      <c r="F219" s="88"/>
      <c r="G219" s="91" t="s">
        <v>554</v>
      </c>
      <c r="H219" s="91"/>
      <c r="I219" s="92"/>
      <c r="J219" s="88"/>
      <c r="K219" s="88"/>
      <c r="L219" s="88"/>
      <c r="M219" s="88"/>
      <c r="N219" s="88"/>
      <c r="O219" s="88"/>
      <c r="P219" s="88"/>
      <c r="Q219" s="88"/>
      <c r="R219" s="88"/>
      <c r="S219" s="88"/>
      <c r="T219" s="88"/>
      <c r="U219" s="88"/>
      <c r="V219" s="88"/>
      <c r="W219" s="88"/>
      <c r="X219" s="88"/>
      <c r="Y219" s="88"/>
      <c r="Z219" s="88"/>
      <c r="AA219" s="88"/>
      <c r="AB219" s="88"/>
      <c r="AC219" s="88"/>
      <c r="AD219" s="88"/>
      <c r="AE219" s="88"/>
      <c r="AF219" s="88"/>
      <c r="AG219" s="58"/>
      <c r="AH219" s="93"/>
      <c r="AI219" s="58"/>
      <c r="AJ219" s="58"/>
      <c r="AK219" s="58"/>
      <c r="AL219" s="58"/>
    </row>
    <row r="220" spans="1:64" s="28" customFormat="1" ht="36" customHeight="1" x14ac:dyDescent="0.25">
      <c r="AH220" s="86"/>
      <c r="AJ220" s="58"/>
      <c r="AK220" s="58"/>
      <c r="AL220" s="94"/>
    </row>
    <row r="221" spans="1:64" s="28" customFormat="1" ht="10.9" customHeight="1" x14ac:dyDescent="0.25">
      <c r="B221" s="83" t="s">
        <v>555</v>
      </c>
      <c r="C221" s="38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3"/>
      <c r="AF221" s="83"/>
      <c r="AG221" s="86"/>
      <c r="AH221" s="93"/>
      <c r="AI221" s="86"/>
      <c r="AJ221" s="86"/>
      <c r="AK221" s="86"/>
      <c r="AL221" s="86"/>
      <c r="AM221" s="86"/>
      <c r="AN221" s="86"/>
      <c r="AO221" s="86"/>
      <c r="AP221" s="86"/>
      <c r="AQ221" s="86"/>
      <c r="AR221" s="86"/>
      <c r="AS221" s="86"/>
      <c r="AT221" s="86"/>
      <c r="AU221" s="86"/>
      <c r="AV221" s="86"/>
      <c r="AW221" s="86"/>
      <c r="AX221" s="86"/>
      <c r="AY221" s="86"/>
      <c r="AZ221" s="86"/>
      <c r="BA221" s="86"/>
      <c r="BB221" s="86"/>
      <c r="BC221" s="86"/>
      <c r="BD221" s="86"/>
      <c r="BE221" s="86"/>
      <c r="BF221" s="86"/>
      <c r="BG221" s="86"/>
      <c r="BH221" s="86"/>
      <c r="BI221" s="86"/>
      <c r="BJ221" s="86"/>
      <c r="BK221" s="86"/>
      <c r="BL221" s="86"/>
    </row>
    <row r="222" spans="1:64" s="28" customFormat="1" ht="3" customHeight="1" x14ac:dyDescent="0.2">
      <c r="B222" s="95"/>
      <c r="C222" s="95"/>
      <c r="D222" s="96"/>
      <c r="E222" s="38"/>
      <c r="F222" s="97"/>
      <c r="G222" s="97"/>
      <c r="H222" s="95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  <c r="AA222" s="38"/>
      <c r="AB222" s="38"/>
      <c r="AC222" s="38"/>
      <c r="AD222" s="38"/>
      <c r="AE222" s="38"/>
      <c r="AF222" s="38"/>
      <c r="AG222" s="58"/>
      <c r="AH222" s="93"/>
      <c r="AI222" s="58"/>
      <c r="AJ222" s="58"/>
      <c r="AK222" s="58"/>
      <c r="AL222" s="87"/>
    </row>
    <row r="223" spans="1:64" s="28" customFormat="1" ht="28.9" customHeight="1" x14ac:dyDescent="0.2">
      <c r="B223" s="95"/>
      <c r="C223" s="95"/>
      <c r="D223" s="98"/>
      <c r="E223" s="52" t="e">
        <f>SUM(G9:G99)+G135+G161+SUM(G163:G193)+G216+#REF!</f>
        <v>#REF!</v>
      </c>
      <c r="F223" s="97"/>
      <c r="G223" s="99"/>
      <c r="H223" s="95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F223" s="38"/>
      <c r="AG223" s="58"/>
      <c r="AH223" s="100">
        <f>AH100+AH135+AH161+AH195+AH197+AH199+AH202+AH206+AH216</f>
        <v>2067367.7371099999</v>
      </c>
      <c r="AI223" s="58"/>
      <c r="AJ223" s="58"/>
      <c r="AK223" s="58"/>
      <c r="AL223" s="58"/>
    </row>
    <row r="224" spans="1:64" s="28" customFormat="1" ht="28.9" customHeight="1" x14ac:dyDescent="0.2">
      <c r="B224" s="95"/>
      <c r="C224" s="95"/>
      <c r="D224" s="96"/>
      <c r="E224" s="38"/>
      <c r="F224" s="97"/>
      <c r="G224" s="97"/>
      <c r="H224" s="95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  <c r="AA224" s="38"/>
      <c r="AB224" s="38"/>
      <c r="AC224" s="38"/>
      <c r="AD224" s="38"/>
      <c r="AE224" s="38"/>
      <c r="AF224" s="38"/>
      <c r="AG224" s="58"/>
      <c r="AH224" s="93"/>
      <c r="AI224" s="58"/>
      <c r="AJ224" s="58"/>
      <c r="AK224" s="58"/>
      <c r="AL224" s="94"/>
    </row>
    <row r="225" spans="2:38" s="28" customFormat="1" ht="28.9" customHeight="1" x14ac:dyDescent="0.2"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  <c r="AA225" s="38"/>
      <c r="AB225" s="38"/>
      <c r="AC225" s="38"/>
      <c r="AD225" s="38"/>
      <c r="AE225" s="38"/>
      <c r="AF225" s="38"/>
      <c r="AG225" s="58"/>
      <c r="AH225" s="93"/>
      <c r="AI225" s="58"/>
      <c r="AJ225" s="58"/>
      <c r="AK225" s="58"/>
      <c r="AL225" s="87"/>
    </row>
    <row r="226" spans="2:38" s="28" customFormat="1" ht="28.9" customHeight="1" x14ac:dyDescent="0.2"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F226" s="38"/>
      <c r="AG226" s="58"/>
      <c r="AH226" s="93"/>
      <c r="AI226" s="58"/>
      <c r="AJ226" s="58"/>
      <c r="AK226" s="58"/>
      <c r="AL226" s="94"/>
    </row>
    <row r="227" spans="2:38" s="28" customFormat="1" ht="38.25" customHeight="1" x14ac:dyDescent="0.2"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F227" s="38"/>
      <c r="AG227" s="58"/>
      <c r="AH227" s="93"/>
      <c r="AI227" s="58"/>
      <c r="AJ227" s="58"/>
      <c r="AK227" s="58"/>
      <c r="AL227" s="101"/>
    </row>
    <row r="228" spans="2:38" s="28" customFormat="1" ht="38.25" customHeight="1" x14ac:dyDescent="0.2"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  <c r="AA228" s="38"/>
      <c r="AB228" s="38"/>
      <c r="AC228" s="38"/>
      <c r="AD228" s="38"/>
      <c r="AE228" s="38"/>
      <c r="AF228" s="38"/>
      <c r="AG228" s="58"/>
      <c r="AH228" s="93"/>
      <c r="AI228" s="58"/>
      <c r="AJ228" s="58"/>
      <c r="AK228" s="58"/>
      <c r="AL228" s="58"/>
    </row>
    <row r="229" spans="2:38" s="28" customFormat="1" ht="38.25" customHeight="1" x14ac:dyDescent="0.2"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F229" s="38"/>
      <c r="AG229" s="58"/>
      <c r="AH229" s="93"/>
      <c r="AI229" s="58"/>
      <c r="AJ229" s="58"/>
      <c r="AK229" s="58"/>
      <c r="AL229" s="87"/>
    </row>
    <row r="230" spans="2:38" s="28" customFormat="1" ht="38.25" customHeight="1" x14ac:dyDescent="0.2"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F230" s="38"/>
      <c r="AG230" s="58"/>
      <c r="AH230" s="93"/>
      <c r="AI230" s="58"/>
      <c r="AJ230" s="58"/>
      <c r="AK230" s="58"/>
      <c r="AL230" s="87"/>
    </row>
    <row r="231" spans="2:38" s="28" customFormat="1" ht="38.25" customHeight="1" x14ac:dyDescent="0.2"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  <c r="AA231" s="38"/>
      <c r="AB231" s="38"/>
      <c r="AC231" s="38"/>
      <c r="AD231" s="38"/>
      <c r="AE231" s="38"/>
      <c r="AF231" s="38"/>
      <c r="AG231" s="38"/>
      <c r="AH231" s="102"/>
      <c r="AI231" s="38"/>
      <c r="AJ231" s="38"/>
      <c r="AL231" s="87"/>
    </row>
    <row r="232" spans="2:38" s="28" customFormat="1" ht="38.25" customHeight="1" x14ac:dyDescent="0.2">
      <c r="AH232" s="103"/>
      <c r="AL232" s="87"/>
    </row>
    <row r="233" spans="2:38" s="28" customFormat="1" ht="38.25" customHeight="1" x14ac:dyDescent="0.2">
      <c r="AH233" s="103"/>
      <c r="AL233" s="87"/>
    </row>
    <row r="234" spans="2:38" s="28" customFormat="1" ht="38.25" customHeight="1" x14ac:dyDescent="0.2">
      <c r="AH234" s="103"/>
      <c r="AL234" s="38"/>
    </row>
    <row r="235" spans="2:38" s="28" customFormat="1" ht="38.25" customHeight="1" x14ac:dyDescent="0.2">
      <c r="AH235" s="103"/>
      <c r="AL235" s="58"/>
    </row>
    <row r="236" spans="2:38" s="28" customFormat="1" ht="38.25" customHeight="1" x14ac:dyDescent="0.2">
      <c r="AH236" s="103"/>
      <c r="AL236" s="45"/>
    </row>
    <row r="237" spans="2:38" s="28" customFormat="1" ht="38.25" customHeight="1" x14ac:dyDescent="0.2">
      <c r="AH237" s="103"/>
      <c r="AL237" s="38"/>
    </row>
    <row r="238" spans="2:38" s="28" customFormat="1" ht="38.25" customHeight="1" x14ac:dyDescent="0.2">
      <c r="AH238" s="103"/>
      <c r="AL238" s="87"/>
    </row>
    <row r="239" spans="2:38" s="28" customFormat="1" ht="38.25" customHeight="1" x14ac:dyDescent="0.2">
      <c r="AH239" s="103"/>
      <c r="AL239" s="38"/>
    </row>
    <row r="240" spans="2:38" s="28" customFormat="1" ht="38.25" customHeight="1" x14ac:dyDescent="0.2">
      <c r="AH240" s="103"/>
      <c r="AL240" s="38"/>
    </row>
    <row r="241" spans="2:38" s="28" customFormat="1" ht="38.25" customHeight="1" x14ac:dyDescent="0.2">
      <c r="AH241" s="103"/>
      <c r="AL241" s="38"/>
    </row>
    <row r="242" spans="2:38" s="28" customFormat="1" ht="38.25" customHeight="1" x14ac:dyDescent="0.2">
      <c r="AH242" s="103"/>
      <c r="AL242" s="38"/>
    </row>
    <row r="243" spans="2:38" s="28" customFormat="1" ht="38.25" customHeight="1" x14ac:dyDescent="0.2">
      <c r="AH243" s="103"/>
      <c r="AL243" s="58"/>
    </row>
    <row r="244" spans="2:38" s="28" customFormat="1" ht="38.25" customHeight="1" x14ac:dyDescent="0.2">
      <c r="AH244" s="103"/>
      <c r="AL244" s="58"/>
    </row>
    <row r="245" spans="2:38" s="28" customFormat="1" ht="38.25" customHeight="1" x14ac:dyDescent="0.2">
      <c r="AH245" s="103"/>
      <c r="AL245" s="58"/>
    </row>
    <row r="246" spans="2:38" s="28" customFormat="1" ht="38.25" customHeight="1" x14ac:dyDescent="0.2">
      <c r="AH246" s="103"/>
      <c r="AL246" s="58"/>
    </row>
    <row r="247" spans="2:38" s="28" customFormat="1" ht="38.25" customHeight="1" x14ac:dyDescent="0.2">
      <c r="AH247" s="103"/>
      <c r="AL247" s="58"/>
    </row>
    <row r="248" spans="2:38" s="28" customFormat="1" ht="38.25" customHeight="1" x14ac:dyDescent="0.2">
      <c r="AH248" s="103"/>
      <c r="AL248" s="58"/>
    </row>
    <row r="249" spans="2:38" s="28" customFormat="1" ht="38.25" customHeight="1" x14ac:dyDescent="0.2">
      <c r="AH249" s="103"/>
      <c r="AL249" s="58"/>
    </row>
    <row r="250" spans="2:38" s="28" customFormat="1" ht="38.25" customHeight="1" x14ac:dyDescent="0.2">
      <c r="AH250" s="103"/>
      <c r="AL250" s="58"/>
    </row>
    <row r="251" spans="2:38" s="28" customFormat="1" ht="38.25" customHeight="1" x14ac:dyDescent="0.2">
      <c r="AH251" s="103"/>
      <c r="AL251" s="58"/>
    </row>
    <row r="252" spans="2:38" s="28" customFormat="1" ht="38.25" customHeight="1" x14ac:dyDescent="0.2">
      <c r="AH252" s="103"/>
      <c r="AL252" s="58"/>
    </row>
    <row r="253" spans="2:38" ht="38.25" customHeight="1" x14ac:dyDescent="0.2"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103"/>
      <c r="AI253" s="28"/>
      <c r="AJ253" s="28"/>
      <c r="AK253" s="28"/>
      <c r="AL253" s="58"/>
    </row>
    <row r="254" spans="2:38" ht="38.25" customHeight="1" x14ac:dyDescent="0.2"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103"/>
      <c r="AI254" s="28"/>
      <c r="AJ254" s="28"/>
      <c r="AK254" s="28"/>
      <c r="AL254" s="58"/>
    </row>
    <row r="255" spans="2:38" ht="38.25" customHeight="1" x14ac:dyDescent="0.2">
      <c r="AL255" s="105"/>
    </row>
    <row r="256" spans="2:38" ht="38.25" customHeight="1" x14ac:dyDescent="0.2">
      <c r="AL256" s="105"/>
    </row>
  </sheetData>
  <mergeCells count="43">
    <mergeCell ref="B207:G207"/>
    <mergeCell ref="B217:AK217"/>
    <mergeCell ref="D218:AG218"/>
    <mergeCell ref="AJ4:AJ5"/>
    <mergeCell ref="AK4:AK5"/>
    <mergeCell ref="AL4:AL5"/>
    <mergeCell ref="AO5:AO6"/>
    <mergeCell ref="B6:C6"/>
    <mergeCell ref="B7:H7"/>
    <mergeCell ref="AC4:AC5"/>
    <mergeCell ref="AD4:AD5"/>
    <mergeCell ref="AE4:AE5"/>
    <mergeCell ref="AF4:AF5"/>
    <mergeCell ref="AG4:AG5"/>
    <mergeCell ref="AI4:AI5"/>
    <mergeCell ref="W4:W5"/>
    <mergeCell ref="X4:X5"/>
    <mergeCell ref="Y4:Y5"/>
    <mergeCell ref="Z4:Z5"/>
    <mergeCell ref="AA4:AA5"/>
    <mergeCell ref="AB4:AB5"/>
    <mergeCell ref="Q4:Q5"/>
    <mergeCell ref="R4:R5"/>
    <mergeCell ref="S4:S5"/>
    <mergeCell ref="T4:T5"/>
    <mergeCell ref="U4:U5"/>
    <mergeCell ref="V4:V5"/>
    <mergeCell ref="K4:K5"/>
    <mergeCell ref="L4:L5"/>
    <mergeCell ref="M4:M5"/>
    <mergeCell ref="N4:N5"/>
    <mergeCell ref="O4:O5"/>
    <mergeCell ref="P4:P5"/>
    <mergeCell ref="A1:AL1"/>
    <mergeCell ref="A2:AL2"/>
    <mergeCell ref="A3:AL3"/>
    <mergeCell ref="B4:C5"/>
    <mergeCell ref="D4:D5"/>
    <mergeCell ref="E4:F4"/>
    <mergeCell ref="G4:G5"/>
    <mergeCell ref="H4:H5"/>
    <mergeCell ref="I4:I5"/>
    <mergeCell ref="J4:J5"/>
  </mergeCells>
  <hyperlinks>
    <hyperlink ref="B169" r:id="rId1" display="http://dk16.dovidnyk.info/index.php?rozd=16868"/>
    <hyperlink ref="B171" r:id="rId2" display="http://dk16.dovidnyk.info/index.php?rozd=16953"/>
    <hyperlink ref="B160" r:id="rId3" display="http://dk16.dovidnyk.info/index.php?rozd=9872"/>
    <hyperlink ref="C179" r:id="rId4" display="http://dk16.dovidnyk.info/index.php?rozd=19731"/>
    <hyperlink ref="C192" r:id="rId5" display="http://dk16.dovidnyk.info/index.php?rozd=21156"/>
    <hyperlink ref="C189" r:id="rId6" display="http://dk16.dovidnyk.info/index.php?rozd=20759"/>
    <hyperlink ref="C193" r:id="rId7" display="http://dk16.dovidnyk.info/index.php?rozd=21201"/>
    <hyperlink ref="C183" r:id="rId8" display="http://dk16.dovidnyk.info/index.php?rozd=19859"/>
    <hyperlink ref="C182" r:id="rId9" display="http://dk16.dovidnyk.info/index.php?rozd=19816"/>
    <hyperlink ref="C169" r:id="rId10" display="http://dk16.dovidnyk.info/index.php?rozd=16868"/>
    <hyperlink ref="C188" r:id="rId11" display="http://dk16.dovidnyk.info/index.php?rozd=20630"/>
    <hyperlink ref="C171" r:id="rId12" display="http://dk16.dovidnyk.info/index.php?rozd=16953"/>
    <hyperlink ref="C185" r:id="rId13" display="http://dk16.dovidnyk.info/index.php?rozd=20211"/>
    <hyperlink ref="C175" r:id="rId14" display="http://dk16.dovidnyk.info/index.php?rozd=19647"/>
    <hyperlink ref="B175" r:id="rId15" display="http://dk16.dovidnyk.info/index.php?rozd=19647"/>
    <hyperlink ref="C176" r:id="rId16" display="http://dk16.dovidnyk.info/index.php?rozd=19660"/>
    <hyperlink ref="B176" r:id="rId17" display="http://dk16.dovidnyk.info/index.php?rozd=19660"/>
    <hyperlink ref="C168" r:id="rId18" display="http://dk16.dovidnyk.info/index.php?rozd=16838"/>
    <hyperlink ref="B168" r:id="rId19" display="http://dk16.dovidnyk.info/index.php?rozd=16838"/>
    <hyperlink ref="B19" r:id="rId20" display="http://dkpp.rv.ua/index.php?level=20.11.1"/>
    <hyperlink ref="B177" r:id="rId21" display="http://dkpp.rv.ua/index.php?level=62.01.11"/>
    <hyperlink ref="B188" r:id="rId22" display="http://dk16.dovidnyk.info/index.php?rozd=20630"/>
    <hyperlink ref="B191" r:id="rId23" display="http://dkpp.rv.ua/index.php?level=86.90.1"/>
    <hyperlink ref="B200" r:id="rId24" display="http://dk16.dovidnyk.info/index.php?rozd=9872"/>
    <hyperlink ref="C200" r:id="rId25" display="http://dk16.dovidnyk.info/index.php?rozd=9694"/>
    <hyperlink ref="B158" r:id="rId26" display="http://dkpp.rv.ua/index.php?level=10.86.1"/>
    <hyperlink ref="B132" r:id="rId27" display="http://dkpp.rv.ua/index.php?level=26.51.5"/>
    <hyperlink ref="B214" r:id="rId28" display="http://dk16.dovidnyk.info/index.php?rozd=19408"/>
    <hyperlink ref="C214" r:id="rId29" display="http://dk16.dovidnyk.info/index.php?rozd=19408"/>
    <hyperlink ref="B30" r:id="rId30" display="http://dkpp.rv.ua/index.php?level=20.30.2"/>
    <hyperlink ref="B105" r:id="rId31" display="http://dkpp.rv.ua/index.php?level=20.13.6"/>
    <hyperlink ref="B119" r:id="rId32" display="http://dkpp.rv.ua/index.php?level=20.59.6"/>
    <hyperlink ref="B130" r:id="rId33" display="http://dkpp.rv.ua/index.php?level=22.29.2"/>
    <hyperlink ref="B186" r:id="rId34" display="http://dkpp.rv.ua/index.php?level=74.90.1"/>
    <hyperlink ref="C165" r:id="rId35" display="http://dk16.dovidnyk.info/index.php?rozd=9694"/>
    <hyperlink ref="B170" r:id="rId36" display="http://dkpp.rv.ua/index.php?level=38.32.1"/>
    <hyperlink ref="B165" r:id="rId37" display="http://dkpp.rv.ua/index.php?level=33.13.1"/>
    <hyperlink ref="B49" r:id="rId38" display="http://dkpp.rv.ua/index.php?level=22.29.2"/>
    <hyperlink ref="B17" r:id="rId39" display="http://dkpp.rv.ua/index.php?level=17.29.1"/>
    <hyperlink ref="B164" r:id="rId40" display="http://dk16.dovidnyk.info/index.php?rozd=14751"/>
    <hyperlink ref="C194" r:id="rId41" display="http://dk16.dovidnyk.info/index.php?rozd=21201"/>
    <hyperlink ref="B194" r:id="rId42" display="http://dkpp.rv.ua/index.php?level=96.09.1"/>
    <hyperlink ref="C48" r:id="rId43" tooltip="Дерево коду 22.23.1" display="http://dkpp.rv.ua/index.php?search=22.23.1&amp;type=code"/>
    <hyperlink ref="B48" r:id="rId44" display="http://dkpp.rv.ua/index.php?level=22.23.1"/>
    <hyperlink ref="B167" r:id="rId45" display="http://dkpp.rv.ua/index.php?level=38.11.2"/>
    <hyperlink ref="B88" r:id="rId46" display="http://dkpp.rv.ua/index.php?level=31.03.1"/>
    <hyperlink ref="B14" r:id="rId47" display="http://dkpp.rv.ua/index.php?level=17.12.7"/>
    <hyperlink ref="B45" r:id="rId48" display="http://dkpp.rv.ua/index.php?level=22.21.2"/>
    <hyperlink ref="B51" r:id="rId49" display="http://dkpp.rv.ua/index.php?level=23.20.1"/>
    <hyperlink ref="B54" r:id="rId50" display="http://dkpp.rv.ua/index.php?level=23.51.1"/>
    <hyperlink ref="B56" r:id="rId51" display="http://dkpp.rv.ua/index.php?level=24.20.4"/>
    <hyperlink ref="B61" r:id="rId52" display="http://dkpp.rv.ua/index.php?level=25.72.1"/>
    <hyperlink ref="B64" r:id="rId53" display="http://dkpp.rv.ua/index.php?level=25.73.3"/>
    <hyperlink ref="B63" r:id="rId54" display="http://dkpp.rv.ua/index.php?level=25.73.2"/>
    <hyperlink ref="B62" r:id="rId55" display="http://dkpp.rv.ua/index.php?level=25.73.1"/>
    <hyperlink ref="B68" r:id="rId56" display="http://dkpp.rv.ua/index.php?level=25.73.2"/>
    <hyperlink ref="B79" r:id="rId57" display="http://dkpp.rv.ua/index.php?level=28.14.1"/>
    <hyperlink ref="B82" r:id="rId58" display="http://dkpp.rv.ua/index.php?level=28.30.4"/>
    <hyperlink ref="B37" r:id="rId59" display="http://dkpp.rv.ua/index.php?level=21.10.6"/>
    <hyperlink ref="B92" r:id="rId60" display="http://dkpp.rv.ua/index.php?level=32.91.1"/>
    <hyperlink ref="C187" r:id="rId61" display="http://dk16.dovidnyk.info/index.php?rozd=20759"/>
    <hyperlink ref="B187" r:id="rId62" display="http://dkpp.rv.ua/index.php?level=80.20.1"/>
    <hyperlink ref="B129" r:id="rId63" display="http://dkpp.rv.ua/index.php?level=22.22.1"/>
    <hyperlink ref="B33" r:id="rId64" display="http://dkpp.rv.ua/index.php?level=20.52.1"/>
    <hyperlink ref="B69" r:id="rId65" display="http://dkpp.rv.ua/index.php?level=26.11.3"/>
    <hyperlink ref="B93" r:id="rId66" display="http://dkpp.rv.ua/index.php?level=32.99.1"/>
    <hyperlink ref="B46" r:id="rId67" display="http://dkpp.rv.ua/index.php?level=22.21.4"/>
    <hyperlink ref="B55" r:id="rId68" display="http://dkpp.rv.ua/index.php?level=23.52.2"/>
    <hyperlink ref="B57" r:id="rId69" display="http://dkpp.rv.ua/index.php?level=25.71.1"/>
    <hyperlink ref="B166" r:id="rId70" display="http://dkpp.rv.ua/index.php?level=33.14.1"/>
    <hyperlink ref="B180" r:id="rId71" display="http://dkpp.rv.ua/index.php?level=63.11.1"/>
    <hyperlink ref="B203" r:id="rId72" display="http://dkpp.rv.ua/index.php?level=84.12.1"/>
    <hyperlink ref="B190" r:id="rId73" display="http://dkpp.rv.ua/index.php?level=86.10.1"/>
    <hyperlink ref="B85" r:id="rId74" display="http://dk16.dovidnyk.info/index.php?rozd=14094"/>
    <hyperlink ref="C35" r:id="rId75" display="http://dk16.dovidnyk.info/index.php?rozd=10488"/>
    <hyperlink ref="B35" r:id="rId76" display="http://dk16.dovidnyk.info/index.php?rozd=10488"/>
    <hyperlink ref="B91" r:id="rId77" display="http://dkpp.rv.ua/index.php?level=32.50.1"/>
    <hyperlink ref="B172" r:id="rId78" display="http://dkpp.rv.ua/index.php?level=43.22.1"/>
    <hyperlink ref="C172" r:id="rId79" tooltip="Дерево коду 43.22.1" display="http://dkpp.rv.ua/index.php?search=43.22.1&amp;type=code"/>
    <hyperlink ref="C85" r:id="rId80" display="http://dk16.dovidnyk.info/index.php?rozd=14094"/>
    <hyperlink ref="B84" r:id="rId81" display="http://dkpp.rv.ua/index.php?level=29.31.2"/>
    <hyperlink ref="B15" r:id="rId82" display="http://dkpp.rv.ua/index.php?level=17.22.1"/>
    <hyperlink ref="B66" r:id="rId83" display="http://dkpp.rv.ua/index.php?level=25.94.1"/>
    <hyperlink ref="B67" r:id="rId84" display="http://dkpp.rv.ua/index.php?level=25.99.1"/>
    <hyperlink ref="C163" r:id="rId85" display="http://dk16.dovidnyk.info/index.php?rozd=9694"/>
    <hyperlink ref="C162" r:id="rId86" display="http://dk16.dovidnyk.info/index.php?rozd=484"/>
    <hyperlink ref="B83" r:id="rId87" display="http://dkpp.rv.ua/index.php?level=29.10.1"/>
    <hyperlink ref="B198" r:id="rId88" display="http://dkpp.rv.ua/index.php?level=37.00.1"/>
    <hyperlink ref="B40" r:id="rId89" display="http://dkpp.rv.ua/index.php?level=22.19.2"/>
    <hyperlink ref="B44" r:id="rId90" display="http://dkpp.rv.ua/index.php?level=22.19.7"/>
    <hyperlink ref="B146" r:id="rId91" display="http://dkpp.rv.ua/index.php?level=10.51.1"/>
    <hyperlink ref="B23" r:id="rId92" display="http://dkpp.rv.ua/index.php?level=20.13.5"/>
    <hyperlink ref="B74" r:id="rId93" display="http://dkpp.rv.ua/index.php?level=26.20.1"/>
    <hyperlink ref="B181" r:id="rId94" display="http://dkpp.rv.ua/index.php?level=63.99.1"/>
    <hyperlink ref="C184" r:id="rId95" display="http://dk16.dovidnyk.info/index.php?rozd=19868"/>
    <hyperlink ref="B53" r:id="rId96" display="http://dkpp.rv.ua/index.php?level=23.42.1"/>
    <hyperlink ref="B81" r:id="rId97" display="http://dkpp.rv.ua/index.php?level=28.29.1"/>
    <hyperlink ref="B80" r:id="rId98" display="http://dkpp.rv.ua/index.php?level=28.25.1"/>
    <hyperlink ref="B213" r:id="rId99" display="http://dkpp.rv.ua/index.php?level=32.50.1"/>
    <hyperlink ref="C213" r:id="rId100" display="http://dk16.dovidnyk.info/index.php?rozd=12291"/>
    <hyperlink ref="B205" r:id="rId101" display="http://dkpp.rv.ua/index.php?level=26.20.1"/>
    <hyperlink ref="B9" r:id="rId102" display="http://dkpp.rv.ua/index.php?level=13.92.2"/>
    <hyperlink ref="B10" r:id="rId103" display="http://dkpp.rv.ua/index.php?level=13.92.1"/>
    <hyperlink ref="B134" r:id="rId104" display="http://dkpp.rv.ua/index.php?level=32.50.5"/>
    <hyperlink ref="B174" r:id="rId105" display="http://dkpp.rv.ua/index.php?level=58.29.5"/>
    <hyperlink ref="B196" r:id="rId106" display="http://dkpp.rv.ua/index.php?level=17.29.1"/>
    <hyperlink ref="B75" r:id="rId107" display="http://dkpp.rv.ua/index.php?level=27.20.2"/>
    <hyperlink ref="B8" r:id="rId108" display="http://dkpp.rv.ua/index.php?level=08.11.3"/>
    <hyperlink ref="B47" r:id="rId109" display="http://dkpp.rv.ua/index.php?level=22.21.2"/>
    <hyperlink ref="B58" r:id="rId110" display="http://dkpp.rv.ua/index.php?level=23.51.1"/>
    <hyperlink ref="B59" r:id="rId111" display="http://dkpp.rv.ua/index.php?level=23.52.1"/>
    <hyperlink ref="B60" r:id="rId112" display="http://dkpp.rv.ua/index.php?level=24.44.2"/>
    <hyperlink ref="B72" r:id="rId113" display="http://dkpp.rv.ua/index.php?level=25.73.4"/>
    <hyperlink ref="B73" r:id="rId114" display="http://dkpp.rv.ua/index.php?level=25.73.4"/>
    <hyperlink ref="B76" r:id="rId115" display="http://dkpp.rv.ua/index.php?level=27.32.1"/>
    <hyperlink ref="B95" r:id="rId116" display="http://dkpp.rv.ua/index.php?level=32.91.1"/>
    <hyperlink ref="B94" r:id="rId117" display="http://dkpp.rv.ua/index.php?level=29.32.3"/>
    <hyperlink ref="B11" r:id="rId118" display="http://dkpp.rv.ua/index.php?level=13.94.2"/>
    <hyperlink ref="B97" r:id="rId119" display="http://dkpp.rv.ua/index.php?level=38.32.2"/>
    <hyperlink ref="B96" r:id="rId120" display="http://dkpp.rv.ua/index.php?level=38.11.5"/>
    <hyperlink ref="B215" r:id="rId121" display="http://dkpp.rv.ua/index.php?level=26.20.1"/>
    <hyperlink ref="B201" r:id="rId122" display="http://dkpp.rv.ua/index.php?level=85.59.1"/>
    <hyperlink ref="B52" r:id="rId123" display="http://dkpp.rv.ua/index.php?level=23.19.2"/>
  </hyperlinks>
  <pageMargins left="0" right="7.874015748031496E-2" top="0.43307086614173229" bottom="0.19685039370078741" header="0.27559055118110237" footer="0.23622047244094491"/>
  <pageSetup paperSize="9" scale="86" orientation="portrait" horizontalDpi="200" verticalDpi="200" r:id="rId124"/>
  <headerFooter scaleWithDoc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8-02.04</vt:lpstr>
      <vt:lpstr>'8-02.04'!Заголовки_для_печати</vt:lpstr>
      <vt:lpstr>'8-02.04'!Область_печати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EKON</dc:creator>
  <cp:lastModifiedBy>EKON</cp:lastModifiedBy>
  <dcterms:created xsi:type="dcterms:W3CDTF">2015-04-23T06:28:18Z</dcterms:created>
  <dcterms:modified xsi:type="dcterms:W3CDTF">2015-04-23T06:29:47Z</dcterms:modified>
</cp:coreProperties>
</file>