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H:\Электронные торги\на сайт\"/>
    </mc:Choice>
  </mc:AlternateContent>
  <bookViews>
    <workbookView xWindow="0" yWindow="0" windowWidth="19200" windowHeight="11370" firstSheet="1" activeTab="6"/>
  </bookViews>
  <sheets>
    <sheet name="21.11-28" sheetId="23" r:id="rId1"/>
    <sheet name="14.11-25" sheetId="22" r:id="rId2"/>
    <sheet name="08.11-23" sheetId="21" r:id="rId3"/>
    <sheet name="04.11-22" sheetId="20" r:id="rId4"/>
    <sheet name="31.10-21" sheetId="19" r:id="rId5"/>
    <sheet name="24.10-20" sheetId="18" r:id="rId6"/>
    <sheet name="17,10-17" sheetId="15" r:id="rId7"/>
    <sheet name="10.10-15" sheetId="16" r:id="rId8"/>
    <sheet name="03,10-13" sheetId="13" r:id="rId9"/>
    <sheet name="29,09-12" sheetId="12" r:id="rId10"/>
    <sheet name="23,09-10" sheetId="11" r:id="rId11"/>
    <sheet name="13,09-8" sheetId="10" r:id="rId12"/>
    <sheet name="08,09-4" sheetId="8" r:id="rId13"/>
    <sheet name="31.08-3" sheetId="9" r:id="rId14"/>
    <sheet name="25.08-2" sheetId="7" r:id="rId15"/>
    <sheet name="04.07-23" sheetId="1" r:id="rId16"/>
  </sheets>
  <definedNames>
    <definedName name="_xlnm._FilterDatabase" localSheetId="8" hidden="1">'03,10-13'!#REF!</definedName>
    <definedName name="_xlnm._FilterDatabase" localSheetId="15" hidden="1">'04.07-23'!#REF!</definedName>
    <definedName name="_xlnm._FilterDatabase" localSheetId="3" hidden="1">'04.11-22'!#REF!</definedName>
    <definedName name="_xlnm._FilterDatabase" localSheetId="12" hidden="1">'08,09-4'!#REF!</definedName>
    <definedName name="_xlnm._FilterDatabase" localSheetId="2" hidden="1">'08.11-23'!#REF!</definedName>
    <definedName name="_xlnm._FilterDatabase" localSheetId="7" hidden="1">'10.10-15'!#REF!</definedName>
    <definedName name="_xlnm._FilterDatabase" localSheetId="11" hidden="1">'13,09-8'!#REF!</definedName>
    <definedName name="_xlnm._FilterDatabase" localSheetId="1" hidden="1">'14.11-25'!#REF!</definedName>
    <definedName name="_xlnm._FilterDatabase" localSheetId="6" hidden="1">'17,10-17'!#REF!</definedName>
    <definedName name="_xlnm._FilterDatabase" localSheetId="0" hidden="1">'21.11-28'!#REF!</definedName>
    <definedName name="_xlnm._FilterDatabase" localSheetId="10" hidden="1">'23,09-10'!#REF!</definedName>
    <definedName name="_xlnm._FilterDatabase" localSheetId="5" hidden="1">'24.10-20'!#REF!</definedName>
    <definedName name="_xlnm._FilterDatabase" localSheetId="14" hidden="1">'25.08-2'!#REF!</definedName>
    <definedName name="_xlnm._FilterDatabase" localSheetId="9" hidden="1">'29,09-12'!#REF!</definedName>
    <definedName name="_xlnm._FilterDatabase" localSheetId="13" hidden="1">'31.08-3'!#REF!</definedName>
    <definedName name="_xlnm._FilterDatabase" localSheetId="4" hidden="1">'31.10-21'!#REF!</definedName>
    <definedName name="_xlnm.Print_Titles" localSheetId="8">'03,10-13'!$6:$6</definedName>
    <definedName name="_xlnm.Print_Titles" localSheetId="15">'04.07-23'!$6:$6</definedName>
    <definedName name="_xlnm.Print_Titles" localSheetId="3">'04.11-22'!$6:$6</definedName>
    <definedName name="_xlnm.Print_Titles" localSheetId="12">'08,09-4'!$6:$6</definedName>
    <definedName name="_xlnm.Print_Titles" localSheetId="2">'08.11-23'!$6:$6</definedName>
    <definedName name="_xlnm.Print_Titles" localSheetId="7">'10.10-15'!$6:$6</definedName>
    <definedName name="_xlnm.Print_Titles" localSheetId="11">'13,09-8'!$6:$6</definedName>
    <definedName name="_xlnm.Print_Titles" localSheetId="1">'14.11-25'!$6:$6</definedName>
    <definedName name="_xlnm.Print_Titles" localSheetId="6">'17,10-17'!$6:$6</definedName>
    <definedName name="_xlnm.Print_Titles" localSheetId="0">'21.11-28'!$6:$6</definedName>
    <definedName name="_xlnm.Print_Titles" localSheetId="10">'23,09-10'!$6:$6</definedName>
    <definedName name="_xlnm.Print_Titles" localSheetId="5">'24.10-20'!$6:$6</definedName>
    <definedName name="_xlnm.Print_Titles" localSheetId="14">'25.08-2'!$6:$6</definedName>
    <definedName name="_xlnm.Print_Titles" localSheetId="9">'29,09-12'!$6:$6</definedName>
    <definedName name="_xlnm.Print_Titles" localSheetId="13">'31.08-3'!$6:$6</definedName>
    <definedName name="_xlnm.Print_Titles" localSheetId="4">'31.10-21'!$6:$6</definedName>
    <definedName name="_xlnm.Print_Area" localSheetId="8">'03,10-13'!$A$1:$H$19</definedName>
    <definedName name="_xlnm.Print_Area" localSheetId="3">'04.11-22'!$A$1:$H$12</definedName>
    <definedName name="_xlnm.Print_Area" localSheetId="12">'08,09-4'!$A$1:$H$41</definedName>
    <definedName name="_xlnm.Print_Area" localSheetId="2">'08.11-23'!$A$1:$H$18</definedName>
    <definedName name="_xlnm.Print_Area" localSheetId="7">'10.10-15'!$A$1:$H$31</definedName>
    <definedName name="_xlnm.Print_Area" localSheetId="11">'13,09-8'!$A$1:$H$24</definedName>
    <definedName name="_xlnm.Print_Area" localSheetId="1">'14.11-25'!$A$1:$H$31</definedName>
    <definedName name="_xlnm.Print_Area" localSheetId="6">'17,10-17'!$A$1:$H$26</definedName>
    <definedName name="_xlnm.Print_Area" localSheetId="0">'21.11-28'!$A$1:$H$41</definedName>
    <definedName name="_xlnm.Print_Area" localSheetId="10">'23,09-10'!$A$1:$H$30</definedName>
    <definedName name="_xlnm.Print_Area" localSheetId="5">'24.10-20'!$A$1:$H$13</definedName>
    <definedName name="_xlnm.Print_Area" localSheetId="14">'25.08-2'!$A$1:$H$45</definedName>
    <definedName name="_xlnm.Print_Area" localSheetId="9">'29,09-12'!$A$1:$H$42</definedName>
    <definedName name="_xlnm.Print_Area" localSheetId="13">'31.08-3'!$A$1:$H$17</definedName>
    <definedName name="_xlnm.Print_Area" localSheetId="4">'31.10-21'!$A$1:$H$16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1" l="1"/>
  <c r="AQ371" i="1" l="1"/>
  <c r="AR371" i="1" s="1"/>
  <c r="AM371" i="1"/>
  <c r="AN371" i="1" s="1"/>
  <c r="AQ370" i="1"/>
  <c r="AR370" i="1" s="1"/>
  <c r="AM370" i="1"/>
  <c r="AN370" i="1" s="1"/>
  <c r="AQ369" i="1"/>
  <c r="AR369" i="1" s="1"/>
  <c r="AM369" i="1"/>
  <c r="AN369" i="1" s="1"/>
  <c r="AQ368" i="1"/>
  <c r="AR368" i="1" s="1"/>
  <c r="AM368" i="1"/>
  <c r="AQ367" i="1"/>
  <c r="AR367" i="1" s="1"/>
  <c r="AM367" i="1"/>
  <c r="AN367" i="1" s="1"/>
  <c r="AQ366" i="1"/>
  <c r="AR366" i="1" s="1"/>
  <c r="AM366" i="1"/>
  <c r="AQ365" i="1"/>
  <c r="AR365" i="1" s="1"/>
  <c r="AM365" i="1"/>
  <c r="AQ364" i="1"/>
  <c r="AR364" i="1" s="1"/>
  <c r="AM364" i="1"/>
  <c r="AQ363" i="1"/>
  <c r="AR363" i="1" s="1"/>
  <c r="AM363" i="1"/>
  <c r="AQ362" i="1"/>
  <c r="AR362" i="1" s="1"/>
  <c r="AM362" i="1"/>
  <c r="AR361" i="1"/>
  <c r="AQ361" i="1"/>
  <c r="AN361" i="1"/>
  <c r="AM361" i="1"/>
  <c r="AR360" i="1"/>
  <c r="AQ360" i="1"/>
  <c r="AN360" i="1"/>
  <c r="AM360" i="1"/>
  <c r="AR359" i="1"/>
  <c r="AQ359" i="1"/>
  <c r="AN359" i="1"/>
  <c r="AM359" i="1"/>
  <c r="AR358" i="1"/>
  <c r="AQ358" i="1"/>
  <c r="AN358" i="1"/>
  <c r="AM358" i="1"/>
  <c r="AR357" i="1"/>
  <c r="AQ357" i="1"/>
  <c r="AN357" i="1"/>
  <c r="AM357" i="1"/>
  <c r="AR356" i="1"/>
  <c r="AQ356" i="1"/>
  <c r="AM356" i="1"/>
  <c r="AQ355" i="1"/>
  <c r="AR355" i="1" s="1"/>
  <c r="AM355" i="1"/>
  <c r="AN355" i="1" s="1"/>
  <c r="AR332" i="1"/>
  <c r="AS332" i="1" s="1"/>
  <c r="AF332" i="1"/>
  <c r="AG332" i="1" s="1"/>
  <c r="AR331" i="1"/>
  <c r="AS331" i="1" s="1"/>
  <c r="AF331" i="1"/>
  <c r="AG331" i="1" s="1"/>
  <c r="AR330" i="1"/>
  <c r="AS330" i="1" s="1"/>
  <c r="AF330" i="1"/>
  <c r="AG330" i="1" s="1"/>
  <c r="AR329" i="1"/>
  <c r="AS329" i="1" s="1"/>
  <c r="AF329" i="1"/>
  <c r="AG329" i="1" s="1"/>
  <c r="AR328" i="1"/>
  <c r="AS328" i="1" s="1"/>
  <c r="AF328" i="1"/>
  <c r="AG328" i="1" s="1"/>
  <c r="AR327" i="1"/>
  <c r="AS327" i="1" s="1"/>
  <c r="AF327" i="1"/>
  <c r="AG327" i="1" s="1"/>
  <c r="AR326" i="1"/>
  <c r="AS326" i="1" s="1"/>
  <c r="AF326" i="1"/>
  <c r="AG326" i="1" s="1"/>
  <c r="AR325" i="1"/>
  <c r="AS325" i="1" s="1"/>
  <c r="AF325" i="1"/>
  <c r="AG325" i="1" s="1"/>
  <c r="AR324" i="1"/>
  <c r="AS324" i="1" s="1"/>
  <c r="AF324" i="1"/>
  <c r="AG324" i="1" s="1"/>
  <c r="AR323" i="1"/>
  <c r="AS323" i="1" s="1"/>
  <c r="AF323" i="1"/>
  <c r="AG323" i="1" s="1"/>
  <c r="AR322" i="1"/>
  <c r="AS322" i="1" s="1"/>
  <c r="AF322" i="1"/>
  <c r="AG322" i="1" s="1"/>
  <c r="AR321" i="1"/>
  <c r="AS321" i="1" s="1"/>
  <c r="AF321" i="1"/>
  <c r="AG321" i="1" s="1"/>
  <c r="AR320" i="1"/>
  <c r="AS320" i="1" s="1"/>
  <c r="AF320" i="1"/>
  <c r="AG320" i="1" s="1"/>
  <c r="AR319" i="1"/>
  <c r="AS319" i="1" s="1"/>
  <c r="AF319" i="1"/>
  <c r="AG319" i="1" s="1"/>
  <c r="AR318" i="1"/>
  <c r="AS318" i="1" s="1"/>
  <c r="AF318" i="1"/>
  <c r="AG318" i="1" s="1"/>
  <c r="AR317" i="1"/>
  <c r="AS317" i="1" s="1"/>
  <c r="AF317" i="1"/>
  <c r="AG317" i="1" s="1"/>
  <c r="AR316" i="1"/>
  <c r="AS316" i="1" s="1"/>
  <c r="AS333" i="1" s="1"/>
  <c r="AF316" i="1"/>
  <c r="AG316" i="1" s="1"/>
  <c r="AG333" i="1" s="1"/>
  <c r="AH311" i="1"/>
  <c r="AH314" i="1" s="1"/>
  <c r="C311" i="1"/>
  <c r="C314" i="1" s="1"/>
  <c r="AL305" i="1"/>
  <c r="AL304" i="1"/>
  <c r="AL303" i="1"/>
  <c r="AL302" i="1"/>
  <c r="Z301" i="1"/>
  <c r="Y301" i="1"/>
  <c r="X301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AG300" i="1"/>
  <c r="F300" i="1"/>
  <c r="AL299" i="1"/>
  <c r="AG299" i="1"/>
  <c r="G299" i="1"/>
  <c r="E299" i="1"/>
  <c r="AL298" i="1"/>
  <c r="AG298" i="1"/>
  <c r="AL297" i="1"/>
  <c r="AE296" i="1"/>
  <c r="AD296" i="1"/>
  <c r="AC296" i="1"/>
  <c r="AB296" i="1"/>
  <c r="AA296" i="1"/>
  <c r="Z296" i="1"/>
  <c r="Y296" i="1"/>
  <c r="X296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AO295" i="1"/>
  <c r="AK295" i="1"/>
  <c r="AL295" i="1" s="1"/>
  <c r="G295" i="1"/>
  <c r="AO294" i="1"/>
  <c r="AK294" i="1"/>
  <c r="AL294" i="1" s="1"/>
  <c r="G294" i="1"/>
  <c r="AL293" i="1"/>
  <c r="Z293" i="1"/>
  <c r="F293" i="1"/>
  <c r="AG292" i="1"/>
  <c r="AL292" i="1" s="1"/>
  <c r="F292" i="1"/>
  <c r="AG291" i="1"/>
  <c r="AL291" i="1" s="1"/>
  <c r="F291" i="1"/>
  <c r="AL290" i="1"/>
  <c r="F289" i="1"/>
  <c r="E289" i="1"/>
  <c r="D289" i="1"/>
  <c r="AL288" i="1"/>
  <c r="AL287" i="1"/>
  <c r="AG286" i="1"/>
  <c r="AL286" i="1" s="1"/>
  <c r="AG285" i="1"/>
  <c r="AG289" i="1" s="1"/>
  <c r="AL289" i="1" s="1"/>
  <c r="F284" i="1"/>
  <c r="E284" i="1"/>
  <c r="D284" i="1"/>
  <c r="AL283" i="1"/>
  <c r="G283" i="1"/>
  <c r="AL282" i="1"/>
  <c r="AG281" i="1"/>
  <c r="AL281" i="1" s="1"/>
  <c r="AG280" i="1"/>
  <c r="AG284" i="1" s="1"/>
  <c r="AL284" i="1" s="1"/>
  <c r="AG278" i="1"/>
  <c r="AL278" i="1" s="1"/>
  <c r="AG277" i="1"/>
  <c r="AG279" i="1" s="1"/>
  <c r="AL279" i="1" s="1"/>
  <c r="Z276" i="1"/>
  <c r="Y276" i="1"/>
  <c r="X276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AG275" i="1"/>
  <c r="F275" i="1"/>
  <c r="AO274" i="1"/>
  <c r="AM273" i="1"/>
  <c r="AN273" i="1" s="1"/>
  <c r="AK273" i="1"/>
  <c r="AG273" i="1"/>
  <c r="AL273" i="1" s="1"/>
  <c r="AA273" i="1"/>
  <c r="F273" i="1"/>
  <c r="AG272" i="1"/>
  <c r="AN272" i="1" s="1"/>
  <c r="AA272" i="1"/>
  <c r="F272" i="1"/>
  <c r="AM271" i="1"/>
  <c r="AN271" i="1" s="1"/>
  <c r="AK271" i="1"/>
  <c r="AL271" i="1" s="1"/>
  <c r="G271" i="1"/>
  <c r="AN270" i="1"/>
  <c r="AL270" i="1"/>
  <c r="G270" i="1"/>
  <c r="AN269" i="1"/>
  <c r="AL269" i="1"/>
  <c r="G269" i="1"/>
  <c r="AN268" i="1"/>
  <c r="AL268" i="1"/>
  <c r="G268" i="1"/>
  <c r="AN267" i="1"/>
  <c r="AK267" i="1"/>
  <c r="AL267" i="1" s="1"/>
  <c r="AN266" i="1"/>
  <c r="AK266" i="1"/>
  <c r="AL266" i="1" s="1"/>
  <c r="AM265" i="1"/>
  <c r="AK265" i="1"/>
  <c r="AG265" i="1"/>
  <c r="AN265" i="1" s="1"/>
  <c r="AN264" i="1"/>
  <c r="AL264" i="1"/>
  <c r="E264" i="1"/>
  <c r="D264" i="1"/>
  <c r="AM263" i="1"/>
  <c r="AK263" i="1"/>
  <c r="AG263" i="1"/>
  <c r="AN263" i="1" s="1"/>
  <c r="E263" i="1"/>
  <c r="D263" i="1"/>
  <c r="AM262" i="1"/>
  <c r="AK262" i="1"/>
  <c r="AG262" i="1"/>
  <c r="AN262" i="1" s="1"/>
  <c r="E262" i="1"/>
  <c r="D262" i="1"/>
  <c r="D274" i="1" s="1"/>
  <c r="AG261" i="1"/>
  <c r="AL261" i="1" s="1"/>
  <c r="AG260" i="1"/>
  <c r="AN260" i="1" s="1"/>
  <c r="AM259" i="1"/>
  <c r="AK259" i="1"/>
  <c r="AG259" i="1"/>
  <c r="AN259" i="1" s="1"/>
  <c r="AM258" i="1"/>
  <c r="AK258" i="1"/>
  <c r="AG258" i="1"/>
  <c r="AM257" i="1"/>
  <c r="AK257" i="1"/>
  <c r="AG257" i="1"/>
  <c r="AN257" i="1" s="1"/>
  <c r="F257" i="1"/>
  <c r="AM256" i="1"/>
  <c r="AK256" i="1"/>
  <c r="AG256" i="1"/>
  <c r="AN256" i="1" s="1"/>
  <c r="AL255" i="1"/>
  <c r="AG255" i="1"/>
  <c r="AN255" i="1" s="1"/>
  <c r="AN254" i="1"/>
  <c r="AL254" i="1"/>
  <c r="AG253" i="1"/>
  <c r="AL253" i="1" s="1"/>
  <c r="AG252" i="1"/>
  <c r="AN252" i="1" s="1"/>
  <c r="AP251" i="1"/>
  <c r="AO251" i="1"/>
  <c r="AM251" i="1"/>
  <c r="AK251" i="1"/>
  <c r="AG251" i="1"/>
  <c r="AN251" i="1" s="1"/>
  <c r="AN250" i="1"/>
  <c r="AL250" i="1"/>
  <c r="AM249" i="1"/>
  <c r="AK249" i="1"/>
  <c r="AG249" i="1"/>
  <c r="AN248" i="1"/>
  <c r="AL248" i="1"/>
  <c r="AM247" i="1"/>
  <c r="AK247" i="1"/>
  <c r="AG247" i="1"/>
  <c r="AN247" i="1" s="1"/>
  <c r="AM246" i="1"/>
  <c r="AK246" i="1"/>
  <c r="AG246" i="1"/>
  <c r="AG245" i="1"/>
  <c r="AL245" i="1" s="1"/>
  <c r="E244" i="1"/>
  <c r="AG243" i="1"/>
  <c r="AL243" i="1" s="1"/>
  <c r="D243" i="1"/>
  <c r="F243" i="1" s="1"/>
  <c r="AG242" i="1"/>
  <c r="AL242" i="1" s="1"/>
  <c r="D242" i="1"/>
  <c r="F242" i="1" s="1"/>
  <c r="AG241" i="1"/>
  <c r="AL241" i="1" s="1"/>
  <c r="D241" i="1"/>
  <c r="F241" i="1" s="1"/>
  <c r="AG240" i="1"/>
  <c r="AL240" i="1" s="1"/>
  <c r="D240" i="1"/>
  <c r="F240" i="1" s="1"/>
  <c r="AG239" i="1"/>
  <c r="AL239" i="1" s="1"/>
  <c r="D239" i="1"/>
  <c r="F239" i="1" s="1"/>
  <c r="AG238" i="1"/>
  <c r="AL238" i="1" s="1"/>
  <c r="D238" i="1"/>
  <c r="F238" i="1" s="1"/>
  <c r="AL237" i="1"/>
  <c r="AG236" i="1"/>
  <c r="AL236" i="1" s="1"/>
  <c r="AC236" i="1"/>
  <c r="D236" i="1"/>
  <c r="F236" i="1" s="1"/>
  <c r="AL235" i="1"/>
  <c r="Z235" i="1"/>
  <c r="D235" i="1"/>
  <c r="F235" i="1" s="1"/>
  <c r="AN234" i="1"/>
  <c r="AG234" i="1"/>
  <c r="AL234" i="1" s="1"/>
  <c r="Z234" i="1"/>
  <c r="D234" i="1"/>
  <c r="F234" i="1" s="1"/>
  <c r="AG233" i="1"/>
  <c r="AL233" i="1" s="1"/>
  <c r="D233" i="1"/>
  <c r="F233" i="1" s="1"/>
  <c r="AL232" i="1"/>
  <c r="D232" i="1"/>
  <c r="F232" i="1" s="1"/>
  <c r="AL231" i="1"/>
  <c r="F231" i="1"/>
  <c r="D231" i="1"/>
  <c r="AL230" i="1"/>
  <c r="AG230" i="1"/>
  <c r="F230" i="1"/>
  <c r="D230" i="1"/>
  <c r="AL229" i="1"/>
  <c r="AG229" i="1"/>
  <c r="F229" i="1"/>
  <c r="D229" i="1"/>
  <c r="AL228" i="1"/>
  <c r="AG228" i="1"/>
  <c r="F228" i="1"/>
  <c r="D228" i="1"/>
  <c r="AL227" i="1"/>
  <c r="D227" i="1"/>
  <c r="F227" i="1" s="1"/>
  <c r="AG226" i="1"/>
  <c r="AL226" i="1" s="1"/>
  <c r="D226" i="1"/>
  <c r="F226" i="1" s="1"/>
  <c r="AG225" i="1"/>
  <c r="AL225" i="1" s="1"/>
  <c r="AG224" i="1"/>
  <c r="AL224" i="1" s="1"/>
  <c r="Z224" i="1"/>
  <c r="D224" i="1"/>
  <c r="F224" i="1" s="1"/>
  <c r="AM223" i="1"/>
  <c r="AG223" i="1"/>
  <c r="AL223" i="1" s="1"/>
  <c r="AM222" i="1"/>
  <c r="AK222" i="1"/>
  <c r="AG221" i="1"/>
  <c r="AL221" i="1" s="1"/>
  <c r="AL220" i="1"/>
  <c r="F220" i="1"/>
  <c r="AL219" i="1"/>
  <c r="AG218" i="1"/>
  <c r="AL218" i="1" s="1"/>
  <c r="F218" i="1"/>
  <c r="AL217" i="1"/>
  <c r="AG216" i="1"/>
  <c r="AL216" i="1" s="1"/>
  <c r="AL215" i="1"/>
  <c r="AL214" i="1"/>
  <c r="AG214" i="1"/>
  <c r="F214" i="1"/>
  <c r="AL213" i="1"/>
  <c r="F213" i="1"/>
  <c r="AL212" i="1"/>
  <c r="AL211" i="1"/>
  <c r="AG211" i="1"/>
  <c r="AL210" i="1"/>
  <c r="AL209" i="1"/>
  <c r="AL208" i="1"/>
  <c r="AL207" i="1"/>
  <c r="AL206" i="1"/>
  <c r="AG205" i="1"/>
  <c r="AL205" i="1" s="1"/>
  <c r="AG204" i="1"/>
  <c r="AL204" i="1" s="1"/>
  <c r="AG203" i="1"/>
  <c r="AL203" i="1" s="1"/>
  <c r="AL202" i="1"/>
  <c r="F202" i="1"/>
  <c r="AG201" i="1"/>
  <c r="AL201" i="1" s="1"/>
  <c r="F201" i="1"/>
  <c r="AL200" i="1"/>
  <c r="F200" i="1"/>
  <c r="AL199" i="1"/>
  <c r="AG199" i="1"/>
  <c r="Z199" i="1"/>
  <c r="F199" i="1"/>
  <c r="AL198" i="1"/>
  <c r="AL197" i="1"/>
  <c r="AL196" i="1"/>
  <c r="AG196" i="1"/>
  <c r="AL195" i="1"/>
  <c r="F195" i="1"/>
  <c r="AL194" i="1"/>
  <c r="AG194" i="1"/>
  <c r="F194" i="1"/>
  <c r="AG193" i="1"/>
  <c r="AL193" i="1" s="1"/>
  <c r="F193" i="1"/>
  <c r="AL192" i="1"/>
  <c r="AL191" i="1"/>
  <c r="AL190" i="1"/>
  <c r="Z190" i="1"/>
  <c r="F190" i="1"/>
  <c r="AL189" i="1"/>
  <c r="Z189" i="1"/>
  <c r="F189" i="1"/>
  <c r="AL188" i="1"/>
  <c r="Z188" i="1"/>
  <c r="F188" i="1"/>
  <c r="AL187" i="1"/>
  <c r="Z187" i="1"/>
  <c r="F187" i="1"/>
  <c r="AG186" i="1"/>
  <c r="AL186" i="1" s="1"/>
  <c r="Z186" i="1"/>
  <c r="F186" i="1"/>
  <c r="AL185" i="1"/>
  <c r="Z185" i="1"/>
  <c r="F185" i="1"/>
  <c r="AL184" i="1"/>
  <c r="Z184" i="1"/>
  <c r="F184" i="1"/>
  <c r="AL183" i="1"/>
  <c r="Z183" i="1"/>
  <c r="F183" i="1"/>
  <c r="AL182" i="1"/>
  <c r="Z182" i="1"/>
  <c r="F182" i="1"/>
  <c r="AL181" i="1"/>
  <c r="Z181" i="1"/>
  <c r="F181" i="1"/>
  <c r="AL180" i="1"/>
  <c r="Z180" i="1"/>
  <c r="F180" i="1"/>
  <c r="AL179" i="1"/>
  <c r="Z179" i="1"/>
  <c r="F179" i="1"/>
  <c r="AG178" i="1"/>
  <c r="AL178" i="1" s="1"/>
  <c r="Z178" i="1"/>
  <c r="F178" i="1"/>
  <c r="AL177" i="1"/>
  <c r="AL176" i="1"/>
  <c r="Z176" i="1"/>
  <c r="F176" i="1"/>
  <c r="AG175" i="1"/>
  <c r="AL175" i="1" s="1"/>
  <c r="Z175" i="1"/>
  <c r="F175" i="1"/>
  <c r="AL174" i="1"/>
  <c r="Z174" i="1"/>
  <c r="F174" i="1"/>
  <c r="AG173" i="1"/>
  <c r="AL173" i="1" s="1"/>
  <c r="AL172" i="1"/>
  <c r="F172" i="1"/>
  <c r="AL171" i="1"/>
  <c r="Z171" i="1"/>
  <c r="L171" i="1"/>
  <c r="F171" i="1"/>
  <c r="AL170" i="1"/>
  <c r="Z170" i="1"/>
  <c r="L170" i="1"/>
  <c r="F170" i="1"/>
  <c r="AL169" i="1"/>
  <c r="Z169" i="1"/>
  <c r="L169" i="1"/>
  <c r="F169" i="1"/>
  <c r="AG168" i="1"/>
  <c r="AL168" i="1" s="1"/>
  <c r="Z168" i="1"/>
  <c r="L168" i="1"/>
  <c r="F168" i="1"/>
  <c r="AG167" i="1"/>
  <c r="AL167" i="1" s="1"/>
  <c r="Z167" i="1"/>
  <c r="L167" i="1"/>
  <c r="F167" i="1"/>
  <c r="AL166" i="1"/>
  <c r="Z166" i="1"/>
  <c r="L166" i="1"/>
  <c r="F166" i="1"/>
  <c r="AL165" i="1"/>
  <c r="Z165" i="1"/>
  <c r="L165" i="1"/>
  <c r="F165" i="1"/>
  <c r="AL164" i="1"/>
  <c r="Z164" i="1"/>
  <c r="L164" i="1"/>
  <c r="F164" i="1"/>
  <c r="AL163" i="1"/>
  <c r="Z163" i="1"/>
  <c r="L163" i="1"/>
  <c r="F163" i="1"/>
  <c r="AL162" i="1"/>
  <c r="Z162" i="1"/>
  <c r="L162" i="1"/>
  <c r="F162" i="1"/>
  <c r="AL161" i="1"/>
  <c r="Z161" i="1"/>
  <c r="F161" i="1"/>
  <c r="AL160" i="1"/>
  <c r="Z160" i="1"/>
  <c r="F160" i="1"/>
  <c r="AG159" i="1"/>
  <c r="AL159" i="1" s="1"/>
  <c r="Z159" i="1"/>
  <c r="F159" i="1"/>
  <c r="AL158" i="1"/>
  <c r="Z158" i="1"/>
  <c r="F158" i="1"/>
  <c r="AL157" i="1"/>
  <c r="Z157" i="1"/>
  <c r="F157" i="1"/>
  <c r="AL156" i="1"/>
  <c r="Z156" i="1"/>
  <c r="F156" i="1"/>
  <c r="AL155" i="1"/>
  <c r="Z155" i="1"/>
  <c r="F155" i="1"/>
  <c r="AL154" i="1"/>
  <c r="Z154" i="1"/>
  <c r="F154" i="1"/>
  <c r="AL153" i="1"/>
  <c r="AL152" i="1"/>
  <c r="Z152" i="1"/>
  <c r="S152" i="1"/>
  <c r="F152" i="1"/>
  <c r="AL151" i="1"/>
  <c r="Z151" i="1"/>
  <c r="S151" i="1"/>
  <c r="F151" i="1"/>
  <c r="AL150" i="1"/>
  <c r="Z150" i="1"/>
  <c r="S150" i="1"/>
  <c r="F150" i="1"/>
  <c r="AL149" i="1"/>
  <c r="Z149" i="1"/>
  <c r="S149" i="1"/>
  <c r="F149" i="1"/>
  <c r="AG148" i="1"/>
  <c r="AL148" i="1" s="1"/>
  <c r="Z148" i="1"/>
  <c r="S148" i="1"/>
  <c r="F148" i="1"/>
  <c r="AL147" i="1"/>
  <c r="Z147" i="1"/>
  <c r="S147" i="1"/>
  <c r="F147" i="1"/>
  <c r="AL146" i="1"/>
  <c r="Z146" i="1"/>
  <c r="S146" i="1"/>
  <c r="F146" i="1"/>
  <c r="AL145" i="1"/>
  <c r="Z145" i="1"/>
  <c r="S145" i="1"/>
  <c r="F145" i="1"/>
  <c r="AL144" i="1"/>
  <c r="AG143" i="1"/>
  <c r="AL143" i="1" s="1"/>
  <c r="AG142" i="1"/>
  <c r="AL142" i="1" s="1"/>
  <c r="AL141" i="1"/>
  <c r="AL140" i="1"/>
  <c r="AG139" i="1"/>
  <c r="AL139" i="1" s="1"/>
  <c r="Z139" i="1"/>
  <c r="F139" i="1"/>
  <c r="AL138" i="1"/>
  <c r="F138" i="1"/>
  <c r="AL137" i="1"/>
  <c r="F137" i="1"/>
  <c r="AG136" i="1"/>
  <c r="AL136" i="1" s="1"/>
  <c r="F136" i="1"/>
  <c r="AG135" i="1"/>
  <c r="AL135" i="1" s="1"/>
  <c r="F135" i="1"/>
  <c r="AL134" i="1"/>
  <c r="AL133" i="1"/>
  <c r="F133" i="1"/>
  <c r="AG132" i="1"/>
  <c r="AL132" i="1" s="1"/>
  <c r="Z132" i="1"/>
  <c r="F132" i="1"/>
  <c r="AG131" i="1"/>
  <c r="AL131" i="1" s="1"/>
  <c r="Z131" i="1"/>
  <c r="F131" i="1"/>
  <c r="AL130" i="1"/>
  <c r="F130" i="1"/>
  <c r="AL129" i="1"/>
  <c r="Z129" i="1"/>
  <c r="F129" i="1"/>
  <c r="AL128" i="1"/>
  <c r="AG127" i="1"/>
  <c r="AM127" i="1" s="1"/>
  <c r="AL126" i="1"/>
  <c r="AG125" i="1"/>
  <c r="AL125" i="1" s="1"/>
  <c r="F125" i="1"/>
  <c r="AG124" i="1"/>
  <c r="AG222" i="1" s="1"/>
  <c r="AL222" i="1" s="1"/>
  <c r="AL123" i="1"/>
  <c r="AL122" i="1"/>
  <c r="F122" i="1"/>
  <c r="AL121" i="1"/>
  <c r="F121" i="1"/>
  <c r="AL120" i="1"/>
  <c r="D120" i="1"/>
  <c r="F120" i="1" s="1"/>
  <c r="AN119" i="1"/>
  <c r="AM119" i="1"/>
  <c r="AE119" i="1"/>
  <c r="AD119" i="1"/>
  <c r="AC119" i="1"/>
  <c r="AB119" i="1"/>
  <c r="AA119" i="1"/>
  <c r="Y119" i="1"/>
  <c r="X119" i="1"/>
  <c r="W119" i="1"/>
  <c r="V119" i="1"/>
  <c r="U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E119" i="1"/>
  <c r="AL118" i="1"/>
  <c r="G118" i="1"/>
  <c r="AG117" i="1"/>
  <c r="AL117" i="1" s="1"/>
  <c r="G117" i="1"/>
  <c r="AG116" i="1"/>
  <c r="AL116" i="1" s="1"/>
  <c r="AK115" i="1"/>
  <c r="AG115" i="1"/>
  <c r="AL115" i="1" s="1"/>
  <c r="AO114" i="1"/>
  <c r="AO118" i="1" s="1"/>
  <c r="AL114" i="1"/>
  <c r="AG114" i="1"/>
  <c r="AO113" i="1"/>
  <c r="AO117" i="1" s="1"/>
  <c r="AK113" i="1"/>
  <c r="AG113" i="1"/>
  <c r="AL113" i="1" s="1"/>
  <c r="AK112" i="1"/>
  <c r="AG112" i="1"/>
  <c r="AL112" i="1" s="1"/>
  <c r="AK111" i="1"/>
  <c r="AG111" i="1"/>
  <c r="AL111" i="1" s="1"/>
  <c r="AG110" i="1"/>
  <c r="AL110" i="1" s="1"/>
  <c r="AK109" i="1"/>
  <c r="AG109" i="1"/>
  <c r="AG108" i="1"/>
  <c r="AL108" i="1" s="1"/>
  <c r="AL107" i="1"/>
  <c r="AL106" i="1"/>
  <c r="AG105" i="1"/>
  <c r="AL105" i="1" s="1"/>
  <c r="AL104" i="1"/>
  <c r="F104" i="1"/>
  <c r="AL103" i="1"/>
  <c r="AG102" i="1"/>
  <c r="AL102" i="1" s="1"/>
  <c r="AM101" i="1"/>
  <c r="AK101" i="1"/>
  <c r="AG101" i="1"/>
  <c r="AM100" i="1"/>
  <c r="AG100" i="1"/>
  <c r="AL100" i="1" s="1"/>
  <c r="AL99" i="1"/>
  <c r="AG98" i="1"/>
  <c r="AL98" i="1" s="1"/>
  <c r="AL97" i="1"/>
  <c r="AL96" i="1"/>
  <c r="AL95" i="1"/>
  <c r="AL94" i="1"/>
  <c r="AG93" i="1"/>
  <c r="AL93" i="1" s="1"/>
  <c r="AG92" i="1"/>
  <c r="AL92" i="1" s="1"/>
  <c r="AL91" i="1"/>
  <c r="AK90" i="1"/>
  <c r="AG90" i="1"/>
  <c r="AL90" i="1" s="1"/>
  <c r="AL89" i="1"/>
  <c r="AL88" i="1"/>
  <c r="AL87" i="1"/>
  <c r="AL86" i="1"/>
  <c r="AG85" i="1"/>
  <c r="AL85" i="1" s="1"/>
  <c r="AL84" i="1"/>
  <c r="AL83" i="1"/>
  <c r="AG82" i="1"/>
  <c r="AL82" i="1" s="1"/>
  <c r="AG81" i="1"/>
  <c r="AL81" i="1" s="1"/>
  <c r="AK80" i="1"/>
  <c r="AG80" i="1"/>
  <c r="AK79" i="1"/>
  <c r="AG79" i="1"/>
  <c r="AL78" i="1"/>
  <c r="AL77" i="1"/>
  <c r="AL76" i="1"/>
  <c r="AG75" i="1"/>
  <c r="AL75" i="1" s="1"/>
  <c r="AL74" i="1"/>
  <c r="AL73" i="1"/>
  <c r="AG72" i="1"/>
  <c r="AL72" i="1" s="1"/>
  <c r="AL71" i="1"/>
  <c r="AK70" i="1"/>
  <c r="AG70" i="1"/>
  <c r="T70" i="1"/>
  <c r="AL69" i="1"/>
  <c r="T69" i="1"/>
  <c r="AL68" i="1"/>
  <c r="T68" i="1"/>
  <c r="AL67" i="1"/>
  <c r="AL66" i="1"/>
  <c r="T66" i="1"/>
  <c r="AG65" i="1"/>
  <c r="AL65" i="1" s="1"/>
  <c r="T65" i="1"/>
  <c r="AL64" i="1"/>
  <c r="T64" i="1"/>
  <c r="AG63" i="1"/>
  <c r="AL63" i="1" s="1"/>
  <c r="T63" i="1"/>
  <c r="AL62" i="1"/>
  <c r="Z62" i="1"/>
  <c r="F62" i="1"/>
  <c r="AL61" i="1"/>
  <c r="Z61" i="1"/>
  <c r="F61" i="1"/>
  <c r="AK60" i="1"/>
  <c r="AG60" i="1"/>
  <c r="AK59" i="1"/>
  <c r="AG59" i="1"/>
  <c r="AK58" i="1"/>
  <c r="AL58" i="1" s="1"/>
  <c r="AL57" i="1"/>
  <c r="AL56" i="1"/>
  <c r="AL55" i="1"/>
  <c r="AL54" i="1"/>
  <c r="AG53" i="1"/>
  <c r="AL53" i="1" s="1"/>
  <c r="AG52" i="1"/>
  <c r="AL52" i="1" s="1"/>
  <c r="AL51" i="1"/>
  <c r="AL50" i="1"/>
  <c r="AG50" i="1"/>
  <c r="AL49" i="1"/>
  <c r="AL48" i="1"/>
  <c r="AL47" i="1"/>
  <c r="AG47" i="1"/>
  <c r="AL46" i="1"/>
  <c r="F46" i="1"/>
  <c r="AL45" i="1"/>
  <c r="F45" i="1"/>
  <c r="AK44" i="1"/>
  <c r="AG44" i="1"/>
  <c r="AK43" i="1"/>
  <c r="AL43" i="1" s="1"/>
  <c r="AG42" i="1"/>
  <c r="AL42" i="1" s="1"/>
  <c r="AL41" i="1"/>
  <c r="F41" i="1"/>
  <c r="AL40" i="1"/>
  <c r="F40" i="1"/>
  <c r="AG39" i="1"/>
  <c r="AL39" i="1" s="1"/>
  <c r="F39" i="1"/>
  <c r="AL38" i="1"/>
  <c r="AG38" i="1"/>
  <c r="F38" i="1"/>
  <c r="AG37" i="1"/>
  <c r="AL37" i="1" s="1"/>
  <c r="F37" i="1"/>
  <c r="AG36" i="1"/>
  <c r="AL36" i="1" s="1"/>
  <c r="F36" i="1"/>
  <c r="AK35" i="1"/>
  <c r="AG35" i="1"/>
  <c r="F35" i="1"/>
  <c r="AK34" i="1"/>
  <c r="AG34" i="1"/>
  <c r="F34" i="1"/>
  <c r="AK33" i="1"/>
  <c r="AG33" i="1"/>
  <c r="F33" i="1"/>
  <c r="AG32" i="1"/>
  <c r="AL32" i="1" s="1"/>
  <c r="F32" i="1"/>
  <c r="AG31" i="1"/>
  <c r="AL31" i="1" s="1"/>
  <c r="F31" i="1"/>
  <c r="AK30" i="1"/>
  <c r="AG30" i="1"/>
  <c r="G30" i="1"/>
  <c r="G119" i="1" s="1"/>
  <c r="AL29" i="1"/>
  <c r="AK28" i="1"/>
  <c r="AG28" i="1"/>
  <c r="F28" i="1"/>
  <c r="AG27" i="1"/>
  <c r="AL27" i="1" s="1"/>
  <c r="F27" i="1"/>
  <c r="AG26" i="1"/>
  <c r="AL26" i="1" s="1"/>
  <c r="F26" i="1"/>
  <c r="AK25" i="1"/>
  <c r="AG25" i="1"/>
  <c r="F25" i="1"/>
  <c r="AK24" i="1"/>
  <c r="AL24" i="1" s="1"/>
  <c r="AG23" i="1"/>
  <c r="AL23" i="1" s="1"/>
  <c r="AL22" i="1"/>
  <c r="AL21" i="1"/>
  <c r="AG20" i="1"/>
  <c r="AL20" i="1" s="1"/>
  <c r="AK19" i="1"/>
  <c r="AG19" i="1"/>
  <c r="AL19" i="1" s="1"/>
  <c r="AL18" i="1"/>
  <c r="AL17" i="1"/>
  <c r="AG17" i="1"/>
  <c r="AL16" i="1"/>
  <c r="AG15" i="1"/>
  <c r="AL15" i="1" s="1"/>
  <c r="AK14" i="1"/>
  <c r="AG14" i="1"/>
  <c r="T14" i="1"/>
  <c r="T119" i="1" s="1"/>
  <c r="AL13" i="1"/>
  <c r="AL12" i="1"/>
  <c r="AL11" i="1"/>
  <c r="F11" i="1"/>
  <c r="F119" i="1" s="1"/>
  <c r="D11" i="1"/>
  <c r="D119" i="1" s="1"/>
  <c r="AL10" i="1"/>
  <c r="AG9" i="1"/>
  <c r="AL9" i="1" s="1"/>
  <c r="AK8" i="1"/>
  <c r="AK119" i="1" s="1"/>
  <c r="AG8" i="1"/>
  <c r="AL101" i="1" l="1"/>
  <c r="AL109" i="1"/>
  <c r="AL127" i="1"/>
  <c r="AL34" i="1"/>
  <c r="AL70" i="1"/>
  <c r="AL79" i="1"/>
  <c r="AL80" i="1"/>
  <c r="AL246" i="1"/>
  <c r="AL249" i="1"/>
  <c r="AN372" i="1"/>
  <c r="AR372" i="1"/>
  <c r="AN249" i="1"/>
  <c r="AN258" i="1"/>
  <c r="AL8" i="1"/>
  <c r="AL14" i="1"/>
  <c r="AL25" i="1"/>
  <c r="AL28" i="1"/>
  <c r="AL30" i="1"/>
  <c r="AL33" i="1"/>
  <c r="AL35" i="1"/>
  <c r="AL44" i="1"/>
  <c r="AL59" i="1"/>
  <c r="AL60" i="1"/>
  <c r="Z119" i="1"/>
  <c r="AL124" i="1"/>
  <c r="F244" i="1"/>
  <c r="AL252" i="1"/>
  <c r="AL260" i="1"/>
  <c r="AN261" i="1"/>
  <c r="E276" i="1"/>
  <c r="F263" i="1"/>
  <c r="AL272" i="1"/>
  <c r="D276" i="1"/>
  <c r="AL277" i="1"/>
  <c r="AL280" i="1"/>
  <c r="AL285" i="1"/>
  <c r="AG296" i="1"/>
  <c r="AL296" i="1" s="1"/>
  <c r="AG119" i="1"/>
  <c r="AM274" i="1"/>
  <c r="AN274" i="1" s="1"/>
  <c r="AN246" i="1"/>
  <c r="AL256" i="1"/>
  <c r="AL257" i="1"/>
  <c r="AL259" i="1"/>
  <c r="AL263" i="1"/>
  <c r="E274" i="1"/>
  <c r="AG244" i="1"/>
  <c r="AN245" i="1"/>
  <c r="AK274" i="1"/>
  <c r="AP274" i="1" s="1"/>
  <c r="AL247" i="1"/>
  <c r="AL251" i="1"/>
  <c r="AN253" i="1"/>
  <c r="AL258" i="1"/>
  <c r="AL262" i="1"/>
  <c r="F264" i="1"/>
  <c r="AL265" i="1"/>
  <c r="AG274" i="1"/>
  <c r="AG276" i="1"/>
  <c r="AL276" i="1" s="1"/>
  <c r="AL275" i="1"/>
  <c r="AG301" i="1"/>
  <c r="AL301" i="1" s="1"/>
  <c r="AL300" i="1"/>
  <c r="F262" i="1"/>
  <c r="F276" i="1" l="1"/>
  <c r="F274" i="1"/>
  <c r="AK244" i="1"/>
  <c r="AL244" i="1" s="1"/>
  <c r="AI306" i="1"/>
  <c r="AL119" i="1"/>
  <c r="AL274" i="1"/>
</calcChain>
</file>

<file path=xl/sharedStrings.xml><?xml version="1.0" encoding="utf-8"?>
<sst xmlns="http://schemas.openxmlformats.org/spreadsheetml/2006/main" count="2499" uniqueCount="1310">
  <si>
    <t xml:space="preserve">Додаток до річного плану державних закупівель на  2016 рік  (зі змінами)    </t>
  </si>
  <si>
    <t xml:space="preserve"> ДУ "Інститут охорони здоров'я  дітей та підлітків Національної академії медичних наук України"              </t>
  </si>
  <si>
    <t>код  за ЄДРПОУ 02012183</t>
  </si>
  <si>
    <t xml:space="preserve"> ПРЕДМЕТ ЗАКУПІВЛІ</t>
  </si>
  <si>
    <t>Код КЕКВ (для бюджетних коштів)</t>
  </si>
  <si>
    <t>в т.ч.:</t>
  </si>
  <si>
    <t xml:space="preserve"> Очікувана вартість предмета закупівлі,грн.</t>
  </si>
  <si>
    <t>Примітки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</si>
  <si>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</si>
  <si>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</si>
  <si>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</si>
  <si>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</si>
  <si>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</si>
  <si>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</si>
  <si>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</si>
  <si>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</si>
  <si>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</si>
  <si>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</si>
  <si>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</si>
  <si>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</si>
  <si>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</si>
  <si>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</si>
  <si>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</si>
  <si>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</si>
  <si>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</si>
  <si>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</si>
  <si>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</si>
  <si>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</si>
  <si>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</si>
  <si>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</si>
  <si>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</si>
  <si>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</si>
  <si>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 xml:space="preserve"> Очікувана вартість предмета закупівлі, грн.</t>
  </si>
  <si>
    <t>Процедура закупівлі</t>
  </si>
  <si>
    <t>Орієнтовний початок проведення процедури закупівлі</t>
  </si>
  <si>
    <t>Загальний фонд</t>
  </si>
  <si>
    <t>Спеціальний фонд</t>
  </si>
  <si>
    <t>факт</t>
  </si>
  <si>
    <t>ост</t>
  </si>
  <si>
    <t>Кліника</t>
  </si>
  <si>
    <t>Крейда та некальцинований доломіт-  за кодом ДК 016:2010 - 08.11.3;                                                 Вапно негашене, гашене та гідравлічне за кодом ДК 016:2010-23.52.1                                                                               (  Вапняк, гіпс і крейда -за кодом CPV за ДК 021:2015 - 44920000-5  )</t>
  </si>
  <si>
    <t>Крейда та некальцинований доломіт</t>
  </si>
  <si>
    <t>461,60 (чотириста шістдесят одна гривня 60 коп)</t>
  </si>
  <si>
    <t xml:space="preserve"> Сіль і чистий хлорид натрію; вода морська та сольові розчини - за кодом ДК 016:2010 - 08.93.1                                                                                                (Сіль і чистий хлорид натрію - за кодом CPV за ДК 021:2015 -14400000-5) (Натрій хлор)</t>
  </si>
  <si>
    <t>08.93.1</t>
  </si>
  <si>
    <t>33,00 (тридцять три гривні 00 коп)</t>
  </si>
  <si>
    <t>Крохмалі і крохмалепродукти; цукор і цукрові сиропи, н. в. і. у.-за кодом ДК 016:2010-10.62.1                                                      (Крохмалі - за кодом CPV за ДК 021:2015-15623000-1)</t>
  </si>
  <si>
    <t>19,30 (дев'ятнадцять гривень 30 коп.)</t>
  </si>
  <si>
    <t>Супи, яйця, дріжджі та інші харчові продукти; екстракти та соки з м'яса, риби й водяних безхребетних за кодом ДК 016:2010-10.89.1                                                                                      (Дріжджі-за кодом CPV за ДК 021:2015-15898000-9) (Розчин пекарських дріжджей)</t>
  </si>
  <si>
    <t>10.89.1</t>
  </si>
  <si>
    <t>25,20 ( двадцять п'ять  гривень 20 коп. )</t>
  </si>
  <si>
    <t xml:space="preserve"> Тканини (крім спеціальних полотен) із хімічних монониток і штапельних волокон-  за кодом ДК 016:2010 - 13.20.3 -                                                                                (Плити, листи, стрічки та фольга, пов’язані з конструкційними матеріалами- за кодом CPV за ДК 021:2015 -44170000-2 )                                                                                                                                        </t>
  </si>
  <si>
    <t>72,00 (сімдесят дві гривні 00 коп)</t>
  </si>
  <si>
    <t>Вироби текстильні готові для домашнього господарства-за кодом ДК 016:2010-13.92.1                                                        ( Ковдри та пледи - за кодом CPV за ДК 021:2015-39511000-7 )(Ковдри)</t>
  </si>
  <si>
    <t>280,00 (двісті вісімдесят гривень 00 коп.)</t>
  </si>
  <si>
    <t xml:space="preserve"> Вироби текстильні готові для домашнього господарства-за кодом ДК 016:2010-13.92.1                                                                 ( Штори, портьєри, кухонні штори та тканинні жалюзі - за кодом CPV за ДК 021:2015 -  39515000-5)(Гардини, штори віконні)</t>
  </si>
  <si>
    <t>22.29.2</t>
  </si>
  <si>
    <t>1550,00 (одна тисяча п'ятсот п'ятдесят  гривень 00 коп)</t>
  </si>
  <si>
    <t>Вироби текстильні готові, інші-за кодом ДК 016:2010-13.92.2                                                                                                                                                                           ( Предмети декору - за кодом CPV за ДК 021:2015-39516000-2 )(Подушки)</t>
  </si>
  <si>
    <t>150,00 (сто п'ятдесят гривень 00 коп.)</t>
  </si>
  <si>
    <t>Вироби текстильні готові, інші-за кодом ДК 016:2010-13.92.2                                                                                                                                                                                         ( Поліетиленові мішки та пакети для сміття - за кодом CPV за ДК 021:2015-19640000-4 )</t>
  </si>
  <si>
    <t>143,64 (сто сорок три гривні 64 коп.)</t>
  </si>
  <si>
    <t>Вироби текстильні готові, інші-за кодом ДК 016:2010-13.92.2                                                                                                                                                  (Мішки та пакети - за кодом CPV за ДК 021:2015-18930000-7 )</t>
  </si>
  <si>
    <t>137,44 (сто тридцять сім гривень 44 коп.)</t>
  </si>
  <si>
    <t xml:space="preserve"> Ганчір'я, відходи шпагату, мотузок, канатів та тросів і зношені вироби, з текстильних матеріалів-за кодом ДК 016:2010-13.94.2                                                                           ( Текстильні відходи - за кодом CPV за ДК 021:2015-19620000-8 )</t>
  </si>
  <si>
    <t>51,57 (п'ятдесят одна гривня 57 коп.)</t>
  </si>
  <si>
    <t>Одяг дитячий, одяг інший та аксесуари одягу інші, з текстильного полотна, крім трикотажних-за кодом ДК 016:2010-14.19.2                                                                                ( Робочі рукавиці - за кодом CPV за ДК 021:2015-18141000-9 )</t>
  </si>
  <si>
    <t>787,24 (сімсот вісімдесят сім гривень 24 коп)</t>
  </si>
  <si>
    <t>Папір і картон оброблені-за кодом ДК 016:2010-17.12.7                                                                                                                                    ( Сигаретний та фільтрувальний папір - за кодом CPV за ДК 021:2015-15994000-2) (Папір фільтрувальний)</t>
  </si>
  <si>
    <t>530,40 (п'ятсот тридцять гривень 40 коп.)</t>
  </si>
  <si>
    <t>Папір і картон оброблені-за кодом ДК 016:2010-17.12.7                                                                                                                                    (Фоточутливі,термочутливі та термографічні папір та картон-за кодом CPV за ДК 021:2015-22993000-7) (Папір YPP)</t>
  </si>
  <si>
    <t>550,00 (п'ятсот п'ятдесят гривень 00 коп.)</t>
  </si>
  <si>
    <t>Папір і картон оброблені-за кодом ДК 016:2010-17.12.7                                                                                                                                    (  Пергаментний папір та інші паперові вироби- за кодом CPV за ДК 021:2015-37823000-3) (Крафт -папір )</t>
  </si>
  <si>
    <t>57,00 (п'ятдесят сім гривень 00 коп.)</t>
  </si>
  <si>
    <t>Вироби канцелярські, паперові-за кодом ДК 016:2010-17.23.1                                                                                                                                       (Бухгалтерські книги - за кодом CPV за ДК 021:2015-22813000-2)</t>
  </si>
  <si>
    <t>448,60 (чотириста сорок вісім гривень 60 коп.)</t>
  </si>
  <si>
    <t>Вироби канцелярські, паперові-за кодом ДК 016:2010-17.23.1                                                                                                                                     (Квитанційні книжки - за кодом CPV за ДК 021:2015-22814000-9)</t>
  </si>
  <si>
    <t>1753,60 (одна тисяча сімсот п'ятдесят три гривні  60 коп.)</t>
  </si>
  <si>
    <t>Вироби канцелярські, паперові-за кодом ДК 016:2010-17.23.1                                                                       (Бланки- за кодом CPV за ДК 021:2015-22820000-4)</t>
  </si>
  <si>
    <t>17.23.1</t>
  </si>
  <si>
    <t>11720,73 (одинадцять тисяч  сімсот двадцять гривень 73 коп.)</t>
  </si>
  <si>
    <t xml:space="preserve"> +1743,00  спеціальний фонд  Довідка   про зміни до кошторису на 2016 рік</t>
  </si>
  <si>
    <t>Вироби канцелярські, паперові-за кодом ДК 016:2010-17.23.1                                                                       ( Швидкозшивачі та супутнє приладдя- за кодом CPV за ДК 021:2015-22850000-3 )</t>
  </si>
  <si>
    <t>129,60 (сто двадцять дев'ять гривень 60 коп.)</t>
  </si>
  <si>
    <t>Вироби канцелярські, паперові-за кодом ДК 016:2010-17.23.1                                                                       (Офісне приладдя- за кодом CPV за ДК 021:2015-30192000-1)</t>
  </si>
  <si>
    <t>713,08 (сімсот тринадцять гривень 08 коп.)</t>
  </si>
  <si>
    <t>Вироби канцелярські, паперові-за кодом ДК 016:2010-17.23.1                                                                       (Дрібне канцелярське приладдя- за кодом CPV за ДК 021:2015-30197000-6)(Папір)</t>
  </si>
  <si>
    <t>8151,02 (вісім тисяч сто п'ятдесят одна гриня 02 коп.)</t>
  </si>
  <si>
    <t>Вироби канцелярські, паперові-за кодом ДК 016:2010-17.23.1                                                                                     (Папір для друку- за кодом CPV за ДК 021:2015-30197630-1)</t>
  </si>
  <si>
    <t>1110,45 (одна тисяча сто десять гривень 45 коп.)</t>
  </si>
  <si>
    <t xml:space="preserve"> Вироби канцелярські, паперові(в т.ч Конверти, листівки поштові закриті, листівки поштові неілюстровані та листівки паперові чи картонні; коробки, сумки, гаманці й поштові набори для писання, паперові чи картонні, з умістом канцелярського паперу -за кодом ДК 016:2010 -17.23.1-                                                                                                                         (Паперове канцелярське приладдя та інші паперові вироби- за кодом CPV за ДК 021:2015 -30199000-0)  </t>
  </si>
  <si>
    <t>Продукція друкована інша( в т.ч.Марки поштові, гербові чи подібні нові; гербовий папір; чекові книжки; банкноти, акції, облігації та подібні цінні ,бланки мед))папери, друковані</t>
  </si>
  <si>
    <t>+3000,00</t>
  </si>
  <si>
    <t>1122,80 (одна тисяча сто двадцять дві  гривні 80 коп)</t>
  </si>
  <si>
    <t>Паливо рідинне та газ; оливи мастильні за кодом ДК 016:2010-19.20.2                                                              ( Бензин- за кодом CPV за ДК 021:2015-09132000-3)</t>
  </si>
  <si>
    <t>19.20.2</t>
  </si>
  <si>
    <t>14000,00 (чотирнадцять тисяч  гривень 00 коп.)</t>
  </si>
  <si>
    <t>Паливо рідинне та газ; оливи мастильні за кодом ДК 016:2010-19.20.2                                                              ( Мастильні оливи та мастильні матеріали- за кодом CPV за ДК 021:2015- 09211000-1)</t>
  </si>
  <si>
    <t>873,00 (вісімсот сімдесят три гривні 00 коп.)</t>
  </si>
  <si>
    <t xml:space="preserve">  +729,00 cпеціальний фонд  згідно затвердженого кошторису на 2016 рік</t>
  </si>
  <si>
    <t>Екстракти фарбувальні та дубильні; таніни та їхні похідні; речовини фарбувальні, н. в. і. у.  - за кодом ДК 016:2010-20.12.2                                                    (Фарбувальні речовини - за кодом CPV за ДК 021:2015 - 24224000-0) (Азур еозин за Романовським, еозин по Май-Грюнвальду)</t>
  </si>
  <si>
    <t xml:space="preserve"> 20.12.2</t>
  </si>
  <si>
    <t>769,00 (сімсот шістдесят дев'ять  гривень 00 коп)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</si>
  <si>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   - за кодом ДК 016:2010 - 20.13.13                                                                               (Радіоактивні ізотопи за кодом CPV за ДК 021:2015-09344000-2)</t>
  </si>
  <si>
    <t>20.13.1</t>
  </si>
  <si>
    <t>21792,00 (двадцять одна тисяча сімсот дев'яносто дві  гривні 00 коп)</t>
  </si>
  <si>
    <t>Елементи хімічні, н. в. і. у.; кислоти та сполуки неорганічні   - за кодом ДК 016:2010 - 20.13.2                                                                       ( Хімічні елементи, неорганічні кислоти та сполуки за кодом CPV за ДК 021:2015-24311000-7)(Кислота борна)</t>
  </si>
  <si>
    <t>50,10 ( п'ятдесят гривень 10 коп)</t>
  </si>
  <si>
    <t>Речовини хімічні неорганічні основні, інші, н. в. і. у.   - за кодом ДК 016:2010 - 20.13.6                                                                    ( Неорганічні хімічні речовини різні за кодом CPV за ДК 021:2015-24315000-5) (Натрій тетраборнокислий)</t>
  </si>
  <si>
    <t>36,00 ( тридцять шість гривень 00 коп)</t>
  </si>
  <si>
    <t>Вуглеводні та їхні похідні   - за кодом ДК 016:2010 - 20.14.1                                                                            ( Вуглеводні за кодом CPV за ДК 021:2015-24321000-0) (Хлороформ,трилон Б, глюкоза, сахароза)</t>
  </si>
  <si>
    <t>700,90 (сімсот гривень 90 коп)</t>
  </si>
  <si>
    <t>Кислоти монокарбонові жирні технічні; кислоти карбонові та їхні солі   - за кодом ДК 016:2010 - 20.14.3                                                                               (Промислові монокарбонові жирні кислоти за кодом CPV за ДК 021:2015-24323000-4 )(Кислота оцтова крижана,трихлороцтова)</t>
  </si>
  <si>
    <t>462,00 ( чотириста шістдесят дві  гривні 00 коп)</t>
  </si>
  <si>
    <t xml:space="preserve"> Ефіри, пероксиди, епоксиди, ацеталі та напівацеталі органічні; сполуки органічні, інші    - за кодом ДК 016:2010 - 20.14.6                                                                         (Альдегіди, кетони, органічні пероксиди та ефіри за кодом CPV за ДК 021:2015- 24326000-5  )( Альдегід глутаровий, формалін)</t>
  </si>
  <si>
    <t>113,00 (сто тринадцять гривень 00 коп)</t>
  </si>
  <si>
    <t xml:space="preserve"> Продукти хімічні органічні, основні, різноманітні    - за кодом ДК 016:2010 - 20.14.7                                                                         (Органічні хімічні речовини різні за кодом CPV за ДК 021:2015- 24327000-2 )( Олія імерсійна)</t>
  </si>
  <si>
    <t>218,40 (двісті вісімнадцять  гривень 40 коп)</t>
  </si>
  <si>
    <t xml:space="preserve"> Добрива фосфатні, мінеральні або хімічні    - за кодом ДК 016:2010 - 20.15.5                                                                             ( Галогенати металів; гіпохлорити, хлорати та перхлоратиза кодом CPV за ДК 021:2015-24312000-4)(Калій хлористий)</t>
  </si>
  <si>
    <t>6,90 (шість гривень 90 коп)</t>
  </si>
  <si>
    <t>Фарби та лаки, інші, та пов'язана з ними продукція; барвники художні та друкарські чорнила   - за кодом ДК 016:2010 - 20.30.2                                                                         ( Чорнила- за кодом CPV за ДК 021:2015- 22600000-6)</t>
  </si>
  <si>
    <t>Фарби та лаки, інші, та пов'язана з ними продукція; барвники художні та друкарські чорнила</t>
  </si>
  <si>
    <t>1279,50 (одна тисяча двісті сімдесят  дев'ять  гривень 500 коп)</t>
  </si>
  <si>
    <t xml:space="preserve">Фарби та лаки, інші, та пов'язана з ними продукція; барвники художні та друкарські чорнила   - за кодом ДК 016:2010 - 20.30.2                                                                                                             (  Будівельні матеріали -за кодом CPV за ДК 021:2015 -44111000-1  ) (Грунт концентрант, грунт антисептичний)          </t>
  </si>
  <si>
    <t>144,00 (сто сорок чотири гривні 00 коп)</t>
  </si>
  <si>
    <t>Фарби та лаки, інші, та пов'язана з ними продукція; барвники художні та друкарські чорнила   - за кодом ДК 016:2010 - 20.30.2                                                                         ( Фарби, лаки, друкарська фарба та мастики- за кодом CPV за ДК 021:2015-44800000-8) (Емаль,грунт)</t>
  </si>
  <si>
    <t>3321,36 (три тисячі триста двадцять одна гривня 36 коп)</t>
  </si>
  <si>
    <t xml:space="preserve"> +523,00  спеціальний фонд  Довідка   про зміни до кошторису на 2016 рік</t>
  </si>
  <si>
    <t>Мило, засоби мийні та засоби для чищення за кодом ДК 016:2010-20.41.3                                                    ( Засоби для прання і миття -за кодом CPV за ДК 021:2015- 39831000-6 )</t>
  </si>
  <si>
    <t>20.11.1</t>
  </si>
  <si>
    <t>441,36 (чотириста сорок одна гривня 36 коп.)</t>
  </si>
  <si>
    <t>Мило, засоби мийні та засоби для чищення за кодом ДК 016:2010-20.41.3                                                    (Засоби для чищення і миття автомобілів -за кодом CPV за ДК 021:2015- 39831500-1  )</t>
  </si>
  <si>
    <t>Клеї-  за кодом ДК 016:2010 - 20.52.1                                                                                              (  Клеї - за кодом CPV за ДК 021:2015 -24910000-6)</t>
  </si>
  <si>
    <t>20.59.5</t>
  </si>
  <si>
    <t>830,00</t>
  </si>
  <si>
    <t>313,96 (триста тринадцять гривень 96 коп.)</t>
  </si>
  <si>
    <t>Продукти хімічні різноманітні  -   за кодом ДК 016:2010 -20.59.5                                                                           ( Пептони та білкові речовини - за кодом CPV за ДК 021:2015 -24956000-0)(Тромбопластин)</t>
  </si>
  <si>
    <t>153,00 (сто п'ятдесят три гривні 00 коп)</t>
  </si>
  <si>
    <t xml:space="preserve"> Продукти хімічні різноманітні -  за кодом ДК 016:2010 - 20.59.5                                                                                                                                                                (Хімічна продукція різна -за кодом CPV за ДК 021:2015  - 24960000-1 )</t>
  </si>
  <si>
    <t>90,00 (дев'яносто  гривень 00 коп)</t>
  </si>
  <si>
    <t>Продукти хімічні різноманітні  -   за кодом ДК 016:2010 -20.59.5                                                                           ( Апаратура та приладдя для діагностики і рентгенодіагностики - за кодом CPV за ДК 021:2015 -33124000-5) (Тест-смужки до аналізатора)</t>
  </si>
  <si>
    <t>4474,58 (чотири тисячі чотириста сімдесят чотири гривні 58 коп)</t>
  </si>
  <si>
    <t>Продукти хімічні різноманітні  -   за кодом ДК 016:2010 -20.59.5                                                                           ( Лабораторні реактиви - за кодом CPV за ДК 021:2015 -33696500-0) (Набір реактивів для  клінічного аналізу кала)</t>
  </si>
  <si>
    <t>230,16 (двісті тридцять гривень 16 коп.)</t>
  </si>
  <si>
    <t>Продукти хімічні різноманітні  -   за кодом ДК 016:2010 -20.59.5                                                                           (  Вироби для клінічних досліджень / випробувань - за кодом CPV за ДК 021:2015 -33698000-9)(Суміш культуральна для каріотипирування)</t>
  </si>
  <si>
    <t>2190,00 (дві тисячі сто дев'яносто гривень 00 коп)</t>
  </si>
  <si>
    <t>Волокна синтетичні -  за кодом ДК 016:2010 - 21.10.1                                                                                                                                ( Мисливське чи риболовне спорядження- за кодом CPV за ДК 021:2015 - 37413000-6) (Волосінь для бензокоси)</t>
  </si>
  <si>
    <t xml:space="preserve"> 21.10.6</t>
  </si>
  <si>
    <t>156,00 (сто п'ятдесят шість гривень 00 коп)</t>
  </si>
  <si>
    <t>Кислота саліцилова, о-ацетилсаліцилова кислота, їхні солі та естери -  за кодом ДК 016:2010 - 21.10.1                                                 ( Вуглеводні- за кодом CPV за ДК 021:2015 -24321000-0) (Сульфосаліцилова кислота)</t>
  </si>
  <si>
    <t>138,60 (сто тридцять вісім гривень 60 коп)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</si>
  <si>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(Медичні матеріали нехімічні та гематологічні одноразового застосування -за кодом CPV за ДК 021:2015  -33141000-0)(Еритроцити барана)</t>
  </si>
  <si>
    <t>98,40 (дев'яносто вісім гривень 40 коп)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</si>
  <si>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 Кров тварин - за кодом CPV за ДК 021:2015 -33141580-9)(Еритроцити барана)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</si>
  <si>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 Вироби для клінічних досліджень / випробувань-за кодом CPV за ДК 021:2015  -33698000-9) (Жовч суха)</t>
  </si>
  <si>
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профілів-  за кодом ДК 016:2010 - 22.19.2                                                                                                                                    (Кільця, прокладки, смужки, вставки та ущільнювачі- за кодом CPV за ДК 021:2015 -44425000-5 ) (Набор прокладок сантехнічних)</t>
  </si>
  <si>
    <t>25,56 (дадцять п'ять гривень 56 коп)</t>
  </si>
  <si>
    <t>Труби, трубки та шланги з вулканізованої ґуми (крім виготовлених з твердої ґуми)-  за кодом ДК 016:2010 - 22.19.3                                                                                                                                      ( Шланги, стояки та рукави- за кодом CPV за ДК 021:2015 -44165000-4 ) (Шланги)</t>
  </si>
  <si>
    <t>325,74 (триста двадцять  п'ять гривень 74 коп)</t>
  </si>
  <si>
    <t xml:space="preserve"> Предмети одягу та аксесуари одягу з вулканізованої ґуми (крім виготовлених з твердої ґуми)-  за кодом ДК 016:2010 - 22.19.6                                                                                                                                        (Робочі рукавиці - за кодом CPV за ДК 021:2015 -18141000-9 )</t>
  </si>
  <si>
    <t>120,00 (сто двадцять гривень 00 коп)</t>
  </si>
  <si>
    <t>Предмети одягу та аксесуари одягу з вулканізованої ґуми (крім виготовлених з твердої ґуми)- за кодом ДК 016:2010 -22.19.6                                                                ( Рукавички -за кодом CPV за ДК 021:2015  -18424000-7)</t>
  </si>
  <si>
    <t>22.19.6</t>
  </si>
  <si>
    <t>196,20 (сто дев'яносто шість гривень 20 коп)</t>
  </si>
  <si>
    <t>перчатки</t>
  </si>
  <si>
    <t>Вироби з вулканізованої ґуми, н. в. і. у.; ґума тверда; вироби з твердої ґуми-  за кодом ДК 016:2010 22.19.7) ( Кільця, прокладки, смужки, вставки та ущільнювачі- за кодом CPV за ДК 021:2015 - 44425000-5 )(Техпластина ТМКЩ)</t>
  </si>
  <si>
    <t>811,20 (вісімсот одинадцять гривень 20 коп)</t>
  </si>
  <si>
    <t>Вироби пластмасові для будівництва; лінолеум і покриви на підлогу, тверді, не пластикові - за кодом ДК 016:2010 -22.23.1                                                                ( Будівельні конструкції різні - за кодом CPV за ДК 021:2015 -  44112000-8)(Рубемаст кровельний, лінолеум, сифон під умивальник)</t>
  </si>
  <si>
    <t>13289,89 (тринадцять тисяч двісті вісімдесят дев'ять гривень 89 коп)</t>
  </si>
  <si>
    <t>Вироби пластмасові для будівництва; лінолеум і покриви на підлогу, тверді, не пластикові - за кодом ДК 016:2010 -22.23.1                                                                (Вікна, двері та супутні вироби- за кодом CPV за ДК 021:2015 -  44221000-5)(Вікна)</t>
  </si>
  <si>
    <t>10000,00 (десять тисяч  гривень 00 коп)</t>
  </si>
  <si>
    <t>Вироби пластмасові інші, н. в. і. у. - за кодом ДК 016:2010 - 22.29.2                                                                   ( Електроізоляційна стрічка - за кодом CPV за ДК 021:2015 - 31651000-4)</t>
  </si>
  <si>
    <t>181,08 (сто  вісімдесят одна гривня 08 коп)</t>
  </si>
  <si>
    <t>Вироби пластмасові інші, н. в. і. у. - за кодом ДК 016:2010 - 22.29.2                                                                   ( Пробірки - за кодом CPV за ДК 021:2015 - 33192500-7)</t>
  </si>
  <si>
    <t>222,96 (двісті  двадцять дві гривні 96 коп)</t>
  </si>
  <si>
    <t>Вироби пластмасові інші, н. в. і. у. - за кодом ДК 016:2010 - 22.29.2                                                                    (  Лабораторні піпетки та приладдя до них - за кодом CPV за ДК 021:2015 - 38437000-7)(Кінцевики)</t>
  </si>
  <si>
    <t>232,80 (двісті тридцять дві гривні80 коп)</t>
  </si>
  <si>
    <t>Вироби пластмасові інші, н. в. і. у. - за кодом ДК 016:2010 - 22.29.2                                                                   ( Наконечники для піпеток - за кодом CPV за ДК 021:2015 - 38437110-1)</t>
  </si>
  <si>
    <t>108,48 (сто вісім гривень 48 коп)</t>
  </si>
  <si>
    <t>Вироби пластмасові інші, н. в. і. у. - за кодом ДК 016:2010 - 22.29.2                                                                   (  Мітли, щітки та інше господарське приладдя - за кодом CPV за ДК 021:2015 - 39224000-8)(Губки)</t>
  </si>
  <si>
    <t>27,72 (двадцять сім гривень 72 коп)</t>
  </si>
  <si>
    <t>Скло технічне та інше скло - за кодом ДК 016:2010 - 23.19.2                                                                                           (  Скляний посуд лабораторного призначення - за кодом CPV за ДК 021:2015 - 33793000-5)(Пробірки)</t>
  </si>
  <si>
    <t>1613,80 (одна тисяча  шістсот тринадцять гривень 80 коп)</t>
  </si>
  <si>
    <t>Цемент-  за кодом ДК 016:2010 - 23.51.1;                                                                                                                              (  Будівельні матеріали -за кодом CPV за ДК 021:2015 -44111000-1  )(Цемент)</t>
  </si>
  <si>
    <t>331,92 (триста тридцять одна гривня 92 коп)</t>
  </si>
  <si>
    <t xml:space="preserve"> Труби та трубки зовнішнього діаметра не більше ніж 406,4 мм, зі сталі, інші-  за кодом ДК 016:2010 -  24.20.3                                                                             Труби та арматура - за кодом CPV за ДК 021:2015 -44163000-0 )</t>
  </si>
  <si>
    <t>1983,60 (одна тисяча дев'ятсот вісімдесят три гривні 60 коп)</t>
  </si>
  <si>
    <t xml:space="preserve"> Замки та завіси за кодом ДК 016:2010 - 25.72.1                                                                              (Навісні та врізні замки різні - за кодом CPV за ДК 021:2015 - 44521000-8 )</t>
  </si>
  <si>
    <t>182,00 (сто вісімдесят дві гривні 00 коп)</t>
  </si>
  <si>
    <t xml:space="preserve"> Інструменти ручні для використання в сільському господарстві, садівництві чи лісовому господарстві-  за кодом ДК 016:2010 - 25.73.1                                                                              (  Мітли, щітки та інше господарське приладдя - за кодом CPV за ДК 021:2015 -  39224000-8)(Совок)</t>
  </si>
  <si>
    <t>29,94 (двадцять дев'ять  гривень 94 коп)</t>
  </si>
  <si>
    <t xml:space="preserve"> Інструменти ручні для використання в сільському господарстві, садівництві чи лісовому господарстві-  за кодом ДК 016:2010 - 25.73.1                                                                              ( Ручні знаряддя - за кодом CPV за ДК 021:2015 -  44511000-5)</t>
  </si>
  <si>
    <t>1000,00 (одна тисяча  гривень 00 коп)</t>
  </si>
  <si>
    <t xml:space="preserve"> Пилки ручні, полотна до будь-яких пилок-  за кодом ДК 016:2010 - 25.73.2                                                                              (Ручні знаряддя - за кодом CPV за ДК 021:2015 -  44511000-5) (Полотно ножовочне)</t>
  </si>
  <si>
    <t>41,88 ( сорок одна гривня 88 коп)</t>
  </si>
  <si>
    <t xml:space="preserve"> Інструменти ручні, інші-  за кодом ДК 016:2010 - 25.73.3                                                                           ( Ручні інструменти різні - за кодом CPV за ДК 021:2015 -  44512000-2) (Шпатель)</t>
  </si>
  <si>
    <t>70,00 ( сімдесят  гривень 00 коп)</t>
  </si>
  <si>
    <t>Вироби абразивні-  за кодом ДК 016:2010 - 25.91.1                                                                              (  Точильні круги - за кодом CPV за ДК 021:2015 -14811300-2 )</t>
  </si>
  <si>
    <t>30,00 ( тридцять  гривень 00 коп)</t>
  </si>
  <si>
    <t>Вироби абразивні-  за кодом ДК 016:2010 - 25.91.1                                                                              ( Жорнові камені, точильні камені та круги- за кодом CPV за ДК 021:2015 -14811000-9 )(Круг відрізний )</t>
  </si>
  <si>
    <t>297,50 (двісті дев'яносто сім  гривень 50 коп)</t>
  </si>
  <si>
    <t xml:space="preserve"> Вироби з дроту, ланцюги та пружини-  за кодом ДК 016:2010 - 25.93.1                                                                              ( Електроди - за кодом CPV за ДК 021:2015 -31711140-6 )</t>
  </si>
  <si>
    <t>370,00 (триста сімдесят  гривень 00 коп)</t>
  </si>
  <si>
    <t xml:space="preserve"> Вироби з дроту, ланцюги та пружини-  за кодом ДК 016:2010 - 25.93.1                                                                              (Інші різні конструкційні матеріали - за кодом CPV за ДК 021:2015 - 44192000-2 )(Цвяхи)</t>
  </si>
  <si>
    <t>133,12 (сто тридцять три  гривні 12 коп)</t>
  </si>
  <si>
    <t xml:space="preserve"> Вироби з дроту, ланцюги та пружини-  за кодом ДК 016:2010 - 25.93.1                                                                              (  Металеві троси - за кодом CPV за ДК 021:2015 - 44311000-3 )(Трос для бензокоси)</t>
  </si>
  <si>
    <t>339,00 (триста тридцять дев'ять  гривень 00 коп)</t>
  </si>
  <si>
    <t xml:space="preserve"> Вироби з дроту, ланцюги та пружини-  за кодом ДК 016:2010 - 25.93.1                                                                              ( Пружини - за кодом CPV за ДК 021:2015 - 44550000-0 )(Петлі №2)</t>
  </si>
  <si>
    <t>675,00 (шістсот сімдесят п'ять  гривень 00 коп)</t>
  </si>
  <si>
    <t xml:space="preserve"> Вироби кріпильні та ґвинтонарізні-  за кодом ДК 016:2010 - 25.94.1                                                                               ( Болти - за кодом CPV за ДК 021:2015 -44531400-5)</t>
  </si>
  <si>
    <t>212,50 (двісті дванадцять гривень 50 коп)</t>
  </si>
  <si>
    <t xml:space="preserve"> Вироби кріпильні та ґвинтонарізні-  за кодом ДК 016:2010 - 25.94.1                                                                               ( Кріпильні деталі з наріззю - за кодом CPV за ДК 021:2015- 44531000-1)(Гайки,болти)</t>
  </si>
  <si>
    <t>420,06 (чотириста двадцять гривень 06 коп)</t>
  </si>
  <si>
    <t xml:space="preserve">  Вироби кріпильні та ґвинтонарізні-  за кодом ДК 016:2010 - 25.94.1                                                                               ( Гайки- за кодом CPV за ДК 021:2015 -44531600-7 )</t>
  </si>
  <si>
    <t>50,00 (п'ятдесят гривень 00 коп)</t>
  </si>
  <si>
    <t xml:space="preserve"> Вироби кріпильні та ґвинтонарізні-  за кодом ДК 016:2010 - 25.94.1                                                                               ( Шайби-за кодом CPV за ДК 021:2015-44532200-0 )</t>
  </si>
  <si>
    <t>100,00 (сто гривень 00 коп)</t>
  </si>
  <si>
    <t xml:space="preserve">  Вироби кріпильні та ґвинтонарізні-  за кодом ДК 016:2010 - 25.94.1                                                                               ( Кріпильні деталі без нарізі- за кодом CPV за ДК 021:2015 -44532000-8 )(Шайби)</t>
  </si>
  <si>
    <t>60,00 (шістдесят гривень 00 коп)</t>
  </si>
  <si>
    <t xml:space="preserve"> Вироби для ванн і кухні, металеві-  за кодом ДК 016:2010 - 25.99.1                                                                             ( Вироби для ванної кімнати та кухні - за кодом CPV за ДК 021:2015 - 44410000-7 )(Скребок металевий)</t>
  </si>
  <si>
    <t>39,36 (тридцять дев'ять гривень 36 коп)</t>
  </si>
  <si>
    <t>Машини обчислювальні, частини та приладдя до них-за кодом ДК 016:2010-26.20.1                                                                             ( Периферійне обладнання- за кодом CPV за ДК 021:2015- 30232000-4 )(Принтери)</t>
  </si>
  <si>
    <t>Лампи розжарювання та газорозрядні електричні; лампи дугові</t>
  </si>
  <si>
    <t>2050,00 (дві тисячі п'ятдесят  гривень 00 коп.)</t>
  </si>
  <si>
    <t>Машини обчислювальні, частини та приладдя до них-за кодом ДК 016:2010-26.20.1                                                                             ( Персональні комп’ютери- за кодом CPV за ДК 021:2015-  30213000-5 )(Ноутбук)</t>
  </si>
  <si>
    <t>700,00 (сімсот гривень 00 коп.)</t>
  </si>
  <si>
    <t xml:space="preserve"> Інструменти та прилади вимірювальні, контрольні та випробовувальні, інші-за кодом ДК 016:2010-26.51.6                                                                             ( Лічильники енергії- за кодом CPV за ДК 021:2015-  38551000-2 )(Електролічильники)</t>
  </si>
  <si>
    <t>2880,00 (дві тисячі вісімсот вісімдесят гривень 00 коп.)</t>
  </si>
  <si>
    <t xml:space="preserve"> Елементи первинні, первинні батареї та частини до них-за кодом ДК 016:2010-27.20.1                                                                                  ( Акумулятори, гальванічні елементи та гальванічні батареї- за кодом CPV за ДК 021:2015-31400000-0)</t>
  </si>
  <si>
    <t>1615,20 (одна тисяча шістсот п'ятнадцять гривень 20 коп.)</t>
  </si>
  <si>
    <t>Проводи та кабелі електронні й електричні, інші-за кодом ДК 016:2010-27.32.1                                                                                 (Електричні проводи- за кодом CPV за ДК 021:2015- 44318000-2   ) (Провід ПВС)</t>
  </si>
  <si>
    <t>183,00 (сто вісімдесят три гривні 00 коп)</t>
  </si>
  <si>
    <t>Пристрої електромонтажні-за кодом ДК 016:2010-27.33.1                                                                                 (З’єднувачі та контактні елементи- за кодом CPV за ДК 021:2015- 31224000-2  ) (Вилки та розетки)</t>
  </si>
  <si>
    <t>165,96 (сто шістдесят п'ять гривень 96 коп.)</t>
  </si>
  <si>
    <t>Лампи розжарювання та газорозрядні електричні; лампи дугові-за кодом ДК 016:2010-27.40.1                                                                                  (Освітлювальне обладнання та електричні лампи- за кодом CPV за ДК 021:2015- 31500000-1 )</t>
  </si>
  <si>
    <t>40,00 (сорок гривень 00 коп.)</t>
  </si>
  <si>
    <t>Лампи розжарювання та газорозрядні електричні; лампи дугові-за кодом ДК 016:2010-27.40.1                                                                                  (Лампи розжарення та неонові лампи- за кодом CPV за ДК 021:2015- 31519000-7  ) (Лампи розжарення)</t>
  </si>
  <si>
    <t>133,80 (сто тридцять три гривні 80 коп.)</t>
  </si>
  <si>
    <t>Лампи та світильники, інші-за кодом ДК 016:2010-27.40.3                                                                                ( Розрядні лампи- за кодом CPV за ДК 021:2015-31514000-2) (Лампа люм., лампа енергозберігаюча)</t>
  </si>
  <si>
    <t>776,20 (сімсот сімдесят шість гривень 20 коп.)</t>
  </si>
  <si>
    <t>Лампи та світильники, інші-за кодом ДК 016:2010-27.40.3                                                                                ( Сигнальні лампи- за кодом CPV за ДК 021:2015-31518000-0 )(Лампи аварійного освітлення)</t>
  </si>
  <si>
    <t>770,00 (сімсот сімдесят гривень 00 коп.)</t>
  </si>
  <si>
    <t>Лампи та світильники, інші-за кодом ДК 016:2010-27.40.3                                                                                ( Світильники- за кодом CPV за ДК 021:2015-31521000-4 )</t>
  </si>
  <si>
    <t>769,80 (сімсот шістдесят дев'ять гривень 80 коп.)</t>
  </si>
  <si>
    <t xml:space="preserve"> Прилади електричні побутові, інші, н. в. і. у.-за кодом ДК 016:2010-27.51.2                                                                           ( Електричні побутові прилади для обробки продуктів харчування- за кодом CPV за ДК 021:2015- 39711000-9 )(Електрична плита)</t>
  </si>
  <si>
    <t>2379,30 (дві тисячі   триста сімдесят дев'ять гривень 30 коп.)</t>
  </si>
  <si>
    <t xml:space="preserve"> Прилади електричні побутові, інші, н. в. і. у.-за кодом ДК 016:2010-27.51.2                                                                           ( Водонагрівачі та центральні системи опалення; санітарна техніка- за кодом CPV за ДК 021:2015- 39715000-7  )</t>
  </si>
  <si>
    <t>2349,00 (дві тисячі триста сорок дев'ять гривень 00 коп.)</t>
  </si>
  <si>
    <t>Крани, вентилі, клапани та подібні вироби до труб, котлів, резервуарів, цистерн і подібних виробів-за кодом ДК 016:2010-28.14.1                                                                     (  Арматура трубопровідна: крани, вентилі, клапани та подібні пристрої- за кодом CPV за ДК 021:2015- 42130000-9 )(Кран шар, кран букса)</t>
  </si>
  <si>
    <t>2747,82 (дві тисячі   сімсот сорок сім гривень 82 коп.)</t>
  </si>
  <si>
    <t>Машинки друкарські, машини для обробляння текстів і лічильні машини за кодом ДК 016:2010-28.23.1                                                              ( Лічильні машини- за кодом CPV за ДК 021:2015-30141000-9 )(Калькулятор)</t>
  </si>
  <si>
    <t>563,99 (п'ятсот шістдесят три гривні 99 коп.)</t>
  </si>
  <si>
    <t xml:space="preserve"> Газогенератори, дистиляційні та фільтрувальні апарати-за кодом ДК 016:2010-28.29.1                                                                          (  Оливні, бензинові та повітрозабірні фільтри- за кодом CPV за ДК 021:2015- 42913000-9  )(фільтр масляний,повітряний)</t>
  </si>
  <si>
    <t>3171,00 (три тисячі сто сімдесят одна гривня 00 коп.)</t>
  </si>
  <si>
    <t xml:space="preserve">  -729,00 cпеціальний фонд  згідно затвердженого кошторису на 2016 рік</t>
  </si>
  <si>
    <t>Устатковання для миття, наповнювання, пакування та обгортання пляшок або іншої тари; вогнегасники, пульверизатори, машини пароструминні та піскоструминні; прокладки-за кодом ДК 016:2010-28.29.2                                                                          (  Протипожежне обладнання- за кодом CPV за ДК 021:2015- 35111000-5 )(Вогнегасники)</t>
  </si>
  <si>
    <t>3900,00 (три тисячі дев'ятсот гривень 00 коп.)</t>
  </si>
  <si>
    <t>Машини й устатковання спеціальної призначеності, н. в. і. у.-за кодом ДК 016:2010- 28.99.3                                                                          ( Пристрої для пожежогасіння- за кодом CPV за ДК 021:2015- 44482000-2 )(Пожежний гідрант)</t>
  </si>
  <si>
    <t>2300,00 (дві тисячі триста гривень 00 коп.)</t>
  </si>
  <si>
    <t>Меблі для сидіння та їхні частини -  за кодом ДК 016:2010 -31.00.1                                                                  (Сидіння та стільці різні-за кодом CPV за ДК 021:2015 - 39113000-7 )(Табурети)</t>
  </si>
  <si>
    <t>1000,00 (одна тисяча гривень 00 коп.)</t>
  </si>
  <si>
    <t>Меблі конторські/офісні та меблі для підприємств торгівлі- -  за кодом ДК 016:2010 -31.01.1                                                                  ( Меблі для спальні, їдальні та вітальні-за кодом CPV за ДК 021:2015 -39143000-6)(Стіл металевий)</t>
  </si>
  <si>
    <t>1300,00 (одна тисяча  триста гривень 00 коп.)</t>
  </si>
  <si>
    <t>Меблі конторські/офісні та меблі для підприємств торгівлі- -  за кодом ДК 016:2010 -31.01.1                                                                  (  Письмові та інші столи-за кодом CPV за ДК 021:2015 -39121000-6)(Стіл письмовий)</t>
  </si>
  <si>
    <t>300,00 (  триста гривень 00 коп.)</t>
  </si>
  <si>
    <t>Матраци-  за кодом ДК 016:2010 -31.03.1                                                                  ( Меблі для спальні, їдальні та вітальні-за кодом CPV за ДК 021:2015 -39143000-6)(Матраци)</t>
  </si>
  <si>
    <t>2000,00 (дві тисячі  гривень 00 коп.)</t>
  </si>
  <si>
    <t xml:space="preserve"> Меблі, інші-  за кодом ДК 016:2010 -31.09.1                                                                          ( Сидіння та стільці різні-за кодом CPV за ДК 021:2015 - 39113000-7)(Лава залізна, тумби)</t>
  </si>
  <si>
    <t>2400,00 (дві тисячі чотириста гривень 00 коп.)</t>
  </si>
  <si>
    <t xml:space="preserve"> Меблі, інші-  за кодом ДК 016:2010 -31.09.1                                                                          ( Меблі для спальні, їдальні та вітальні-за кодом CPV за ДК 021:2015 -  39143000-6)(Шафи, тумби )</t>
  </si>
  <si>
    <t>2750,00 (дві тисячі сімсот  п'ятдесят гривень 00 коп.)</t>
  </si>
  <si>
    <t xml:space="preserve"> Меблі, інші-  за кодом ДК 016:2010 -31.09.1                                                                          ( 39152000-2 Пересувні книжкові полиці-за кодом CPV за ДК 021:2015 -  39152000-2)(Полиця книжкова )</t>
  </si>
  <si>
    <t>50,00 (п'ятдесят гривень 00 коп.)</t>
  </si>
  <si>
    <t>Мітли та щітки-  за кодом ДК 016:2010 - 32.91.1                                                                              (Мітли, щітки та інше господарське приладдя-за кодом CPV за ДК 021:2015 -39224000-8 )(Пензлик флейц, валик Велюр)</t>
  </si>
  <si>
    <t>796,73 (сімсот дев'яносто шість гривень 73 коп)</t>
  </si>
  <si>
    <t xml:space="preserve"> +144,00  спеціальний фонд  Довідка   про зміни до кошторису на 2016 рік</t>
  </si>
  <si>
    <t xml:space="preserve"> Вироби, інші, н. в. і. у. за кодом ДК 016:2010-32.99.5                                                                                                  (  Виставкове обладнання - за кодом CPV за ДК 021:2015- 39154000-6  )</t>
  </si>
  <si>
    <t>26.51.6</t>
  </si>
  <si>
    <t>0,00 (ноль гривень 00 коп)</t>
  </si>
  <si>
    <t xml:space="preserve">Журнали та періодичні видання друковані-за кодом ДК 016:2010 - 58.14.1                                                                                                                                                              (Газети, періодичні спеціалізовані та інші періодичні видання і журнали- за кодом CPV за ДК 021:2015-22200000-2 )  </t>
  </si>
  <si>
    <t>4364,59 (чотири тисячі триста шістдесят чотири  гривні 59 коп)</t>
  </si>
  <si>
    <t xml:space="preserve">Послуги щодо видавання друкованої продукції, інші ( в т.ч.Марки поштові, гербові чи подібні нові; гербовий папір; чекові книжки; банкноти, акції, облігації та подібні цінні ,бланки мед)-за кодом ДК 016:2010 - 58.19.1                                                                                                                                                              (Марки, чекові бланки, банкноти, сертифікати акцій, рекламні матеріали, каталоги та посібники- за кодом CPV за ДК 021:2015-22400000-4)  </t>
  </si>
  <si>
    <t>500,00 (п'ятсот  гривень 00 коп)</t>
  </si>
  <si>
    <t>Разом по КЕКВ 2210</t>
  </si>
  <si>
    <t>158853,56 (сто п'ятдесят вісім тисяч вісімсот п'ятдесят три гривні 56 коп.)</t>
  </si>
  <si>
    <t>в т.ч 12000 загальний фонд,118915,00  спеціальний фонд; 27938,56 натуральні надходження</t>
  </si>
  <si>
    <t>Супи, яйця, дріжджі та інші харчові продукти; екстракти та соки з м'яса, риби й водяних безхребетних за кодом ДК 016:2010-10.89.1                                                                                      ( Молочні продукти різні -за кодом CPV за ДК 021:2015- 15550000-8)</t>
  </si>
  <si>
    <t>3115,84 (три тисячі сто п'ятнадцять  гривень 84 коп. )</t>
  </si>
  <si>
    <t>Екстракти фарбувальні та дубильні; таніни та їхні похідні; речовини фарбувальні, н. в. і. у.  - за кодом ДК 016:2010-20.12.2                                                    (Фарбувальні речовини - за кодом CPV за ДК 021:2015 - 24224000-0)(РетикулоФарб)</t>
  </si>
  <si>
    <t>560,00 (п'ятсот  шістдесят гривень 00 коп)</t>
  </si>
  <si>
    <t>Елементи хімічні, н. в. і. у.; кислоти та сполуки неорганічні   - за кодом ДК 016:2010 - 20.13.2                                                                       ( Хімічні елементи, неорганічні кислоти та сполуки за кодом CPV за ДК 021:2015-24311000-7)(Кислота соляна,сірчана)</t>
  </si>
  <si>
    <t>Сульфіди, сульфати; нітрати, фосфати і карбонати за кодом ДК 016:2010 -20.13.4                                                                                                                    Сульфіди, сульфати; нітрати, фосфати та карбонати -за кодом CPV за ДК 021:2015 -24313000-1 )</t>
  </si>
  <si>
    <t>Сульфіди, сульфати; нітрати, фосфати і карбонати</t>
  </si>
  <si>
    <t>Солі інших металів -  за кодом ДК 016:2010 -  20.13.5                                                                                                                                                               (Діагностичні засоби -за кодом CPV за ДК 021:2015 -33694000-1)</t>
  </si>
  <si>
    <t>3166,92 (три тисячі сто шістдесят шість гривень 92 коп.)</t>
  </si>
  <si>
    <t>Речовини хімічні неорганічні основні, інші, н. в. і. у.- за кодом ДК 016:2010 -20.13.6                                                                                                                    ( Неорганічні хімічні речовини різні -за кодом CPV за ДК 021:2015  -24315000-5)</t>
  </si>
  <si>
    <t>20.13.6</t>
  </si>
  <si>
    <t>1800,00 (одна тисяча вісімсот гривень 00 коп)</t>
  </si>
  <si>
    <t>пероксид водню</t>
  </si>
  <si>
    <t>Вуглеводні та їхні похідні -  за кодом ДК 016:2010 -  20.14.1                                                                                                                                                               (  Основні органічні хімічні речовини - -за кодом CPV за ДК 021:2015  - 24320000-3 )</t>
  </si>
  <si>
    <t>3000,00 (три тисячі  гривень 00 коп)</t>
  </si>
  <si>
    <t>глюкоза</t>
  </si>
  <si>
    <t>Вуглеводні та їхні похідні -  за кодом ДК 016:2010 -  20.14.1                                                                                                                                                               (  Медичні розчини -за кодом CPV за ДК 021:2015 -33692000-7 )</t>
  </si>
  <si>
    <t>151250,16 (сто п'ятдесят одна тисяча двісті п'ятдесят гривень 16 коп)</t>
  </si>
  <si>
    <t>Вуглеводні та їхні похідні -  за кодом ДК 016:2010 -  20.14.1                                                                                                                                                               ( Розчини глюкози -за кодом CPV за ДК 021:2015 -33692700-4 )</t>
  </si>
  <si>
    <t>17070,00 (сімнадцять тисяч сімдесят гривень 00 коп.)</t>
  </si>
  <si>
    <t>Спирти, феноли, фенолоспирти та їхні галогено-, сульфо-, нітрони нітрозопохідні; спирти жирні технічні- за кодом ДК 016:2010-20.14.2                                                                                                                               (Діагностичні засоби -за кодом CPV за ДК 021:2015 -33694000-1 )</t>
  </si>
  <si>
    <t>20.14.6</t>
  </si>
  <si>
    <t>10000,00 (десять тисяч гривень 00 коп)</t>
  </si>
  <si>
    <t>Сполуки органічні з азотною функційною групою - за кодом ДК 016:2010-20.14.4                                                                                                                               ( Органічні сполуки з азотною групою -за кодом CPV за ДК 021:2015  -24324000-1)</t>
  </si>
  <si>
    <t>20.14.4</t>
  </si>
  <si>
    <t>50000,00 (п'ятдесят тисяч гривень 00 коп)</t>
  </si>
  <si>
    <t>ттг</t>
  </si>
  <si>
    <t>Сполуки сіркоорганічні та інші органічно-неорганічні сполуки; гетероциклічні сполуки, н. в. і. у.- за кодом ДК 016:2010-20.14.5                                                                                                                               (Діагностичні засоби -за кодом CPV за ДК 021:2015 -33694000-1 )</t>
  </si>
  <si>
    <t>12000,00 (дванадцять тисяч гривень 00 коп)</t>
  </si>
  <si>
    <t>Ефіри, пероксиди, епоксиди, ацеталі та напівацеталі органічні; сполуки органічні, інші- за кодом ДК 016:2010-20.14.6                                                                                                                                     (Діагностичні засоби -за кодом CPV за ДК 021:2015 -33694000-1 )</t>
  </si>
  <si>
    <t>30000,00 (тридцять  тисяч гривень 00 коп)</t>
  </si>
  <si>
    <t>Продукти хімічні органічні, основні, різноманітні - за кодом ДК 016:2010- 20.14.7                                                                                           (Спирти,феноли, фенолспирти та їх галогено-, сульфо-, нітро-, нітрозопохідні; жирні промислові спирти-  -за кодом CPV за ДК 021:2015  -24322000-7)</t>
  </si>
  <si>
    <t>20.14.7</t>
  </si>
  <si>
    <t>60000,00 (шістдесят тисяч гривень 00 коп)</t>
  </si>
  <si>
    <t>спирт</t>
  </si>
  <si>
    <t>Добрива азотні, мінеральні чи хімічні - за кодом ДК 016:2010- 20.15.3                                                                                       ( Азотні добрива-  -за кодом CPV за ДК 021:2015  -24410000-1)</t>
  </si>
  <si>
    <t>20.14.8</t>
  </si>
  <si>
    <t>Пестициди та інші агрохімічні продукти- за кодом ДК 016:2010-20.20.1                                                                    (  Дезинфекційні засоби -за кодом CPV за ДК 021:2015  -24455000-8)</t>
  </si>
  <si>
    <t>20.20.1</t>
  </si>
  <si>
    <t>46200,00 (сорок шість тисяч двісті  гривень 00 коп)</t>
  </si>
  <si>
    <t>новохлор, соліклор, саніфет,  санікон                        максісіан,</t>
  </si>
  <si>
    <t>Пестициди та інші агрохімічні продукти- за кодом ДК 016:2010-20.20.1                                                                    (   Основні органічні хімічні речовини -за кодом CPV за ДК 021:2015  -24320000-3)</t>
  </si>
  <si>
    <t>30680,00 (тридцять  тисяч шістсот вісімдесят гривень 00 коп)</t>
  </si>
  <si>
    <t>деканаль,терралін,гігасепт,  дезактин, аніосурфпреміум, аніозим ДД1</t>
  </si>
  <si>
    <t>Речовини поверхнево-активні органічні, крім мила- за кодом ДК 016:2010-20.41.2                                                                                                 (Спирти, феноли, фенолспирти та їх галогено-, сульфо-, нітро-, нітрозопохідні; жирні промислові спирти -за кодом CPV за ДК 021:2015  -24322000-7 )</t>
  </si>
  <si>
    <t>20.41.2</t>
  </si>
  <si>
    <t>2850,00 (дві тисячі вісімсот п'ятдесят  гривень 00 коп)</t>
  </si>
  <si>
    <t>неостерил</t>
  </si>
  <si>
    <t>Фотопластинки й фотоплівки, плівка для миттєвого друку; фотохімікати та фотографічні незмішані речовини - за кодом ДК 016:2010-20.59.1                                                                                            ( Фотопластини ти фотоплівки -за кодом CPV за ДК 021:2015  -24931000-9)</t>
  </si>
  <si>
    <t>20.59.1</t>
  </si>
  <si>
    <t>40000,00 ( сорок тисяч гривень 00 коп)</t>
  </si>
  <si>
    <t>фото</t>
  </si>
  <si>
    <t>Продукти хімічні різноманітні -  за кодом ДК 016:2010 - 20.59.5                                                                                                                                                                (Хімічна продукція різна -за кодом CPV за ДК 021:2015  - 24960000-1 )</t>
  </si>
  <si>
    <t>860,00 (вісімсот шістдесят гривень 00 коп)</t>
  </si>
  <si>
    <t>тест-смужки, делатест</t>
  </si>
  <si>
    <t>Продукти хімічні різноманітні -  за кодом ДК 016:2010 - 20.59.5                                                                                                                                                               (Діагностичні засоби -за кодом CPV за ДК 021:2015 -33694000-1 )</t>
  </si>
  <si>
    <t>15000,00 (п'ятнадцять тисяч гривень 00 коп)</t>
  </si>
  <si>
    <t>бак</t>
  </si>
  <si>
    <t>Продукти хімічні різноманітні -  за кодом ДК 016:2010 - 20.59.5                                                                                                                                                                ( Реактиви для аналізів крові -за кодом CPV за ДК 021:2015 -33696200-7 )</t>
  </si>
  <si>
    <t>9312,00 (дев'ять тисяч триста дванадцять гривень 00 коп.)</t>
  </si>
  <si>
    <t>Продукти хімічні різноманітні -  за кодом ДК 016:2010 - 20.59.5                                                                                                                                                                ( Реактиви та контрастні речовини -за кодом CPV за ДК 021:2015 - 33696000-5 )</t>
  </si>
  <si>
    <t>110323,86 (сто десять тисяч триста двадцять три  гривні 00 коп)</t>
  </si>
  <si>
    <t>кровь</t>
  </si>
  <si>
    <t>Продукти хімічні різноманітні -  за кодом ДК 016:2010 - 20.59.5                                                                                                                                                                (  Вироби для клінічних досліджень / випробувань -за кодом CPV за ДК 021:2015 - 33698000-9)</t>
  </si>
  <si>
    <t>34000,00 (тридцять чотири тисячі гривень 00 коп)</t>
  </si>
  <si>
    <t>Желатин і його похідні, зокрема молочні альбуміни-  за кодом ДК 016:2010 - 20.59.6                                                                                                                                                              (  Пептони та білкові речовини-за кодом CPV за ДК 021:2015 - 24956000-0 )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</si>
  <si>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 - за кодом ДК 016:2010 -21.10.2                                                                           (Лікарські засоби для лікування захворювань крові й органів кровотворення за кодом CPV за ДК 021:2015  -33621000-9)</t>
  </si>
  <si>
    <t xml:space="preserve"> 21.10.2</t>
  </si>
  <si>
    <t>2000,00 (дві тисячі  гривень 00 коп)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</si>
  <si>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 - за кодом ДК 016:2010 -21.10.2                                                                           (Лікарські  засоби для лікування захворювань серцево-судинної системиза кодом CPV за ДК 021:2015  -33622000-6)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</si>
  <si>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 - за кодом ДК 016:2010 -21.10.2                                                                      (Лікарські засоби для лікування  захворювань шлунково-кишкового тракту та розладів обміну речовинза кодом CPV за ДК 021:2015  -33610000-9)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</si>
  <si>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речовин- за кодом ДК 016:2010 -21.10.2                                                             (Лікарські засоби  для лікування захворювань опорно-рухового апаратуза кодом CPV за ДК 021:2015  -33632000-9)</t>
  </si>
  <si>
    <t>1500,00 (одна тисяча п'ятсот  гривень00 коп)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</si>
  <si>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речовин- за кодом ДК 016:2010 -21.10.2                                                            (Лікарські засоби  для лікування хвороб нервової системи та органів чуттів  -за кодом CPV за ДК 021:2015  -33661000-1)</t>
  </si>
  <si>
    <t>5000,00 (п'ять тисяч  гривень 00 коп)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</si>
  <si>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речовин- за кодом ДК 016:2010 -21.10.2                                                      (Лікарські засоби для лікування  хвороб дихальної системи -за кодом CPV за ДК 021:2015  -33670000 -7)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</si>
  <si>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речовин- за кодом ДК 016:2010 -21.10.2                                                           (Лікарські засоби різні-  -за кодом CPV за ДК 021:2015  -33690000-3)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</si>
  <si>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 -за кодом ДК 016:2010 -21.10.3                                                        (Психолептичні засоби- за кодом CPV за ДК 021:2015- 33661500-6) (Аміназин)</t>
  </si>
  <si>
    <t>394,99 (триста дев'яносто чотири гривні 99 коп.)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</si>
  <si>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 - за кодом ДК 016:2010 - 21.10.3                                                                                                 (Лікарські  засоби для лікування функціональних розладів шлунково-кишкового тракту -за кодом CPV за ДК 021:2015  - 33612000-3 )</t>
  </si>
  <si>
    <t>21.10.3</t>
  </si>
  <si>
    <t>+2608,41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</si>
  <si>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  - за кодом ДК 016:2010 - 21.10.3                                                                                                                                                            (Лікарські  засоби для лікування захворювань серцево-судинної системи -за кодом CPV за ДК 021:2015  -33622000-6)</t>
  </si>
  <si>
    <t>3000,00 (три тисячі гривень 00 коп)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</si>
  <si>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016:2010 -21.10.3                                                                                                                                     (Лікарські засоби для лікування дерматологічних захворювань -за кодом CPV за ДК 021:2015  - 33631000-2)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</si>
  <si>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016:2010 -21.10.3                                                              (Загальні протиінфекційні засоби системного застосування та вакцини -за кодом CPV за ДК 021:2015  - 33651000-8)</t>
  </si>
  <si>
    <t>2000,00 дві тисячі  гривень 00 коп)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</si>
  <si>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 - 21.10.3                                                                                                                                                                                              (Лікарські  засоби для лікування хвороб нервової системи та захворювань органів чуттів -за кодом CPV за ДК 021:2015  -33661000-1)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</si>
  <si>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016:2010 - 21.10.3                                       (Лікарські засоби для лікування хвороб дихальної системи -за кодом CPV за ДК 021:2015  -33670000-7)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</si>
  <si>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016:2010 - 21.10.3                                                       ( Протипаразитні засоби, інсектициди та репеленти -за кодом CPV за ДК 021:2015  -33691000-0)</t>
  </si>
  <si>
    <t>500,00 ( п'ятсот гривень 00 коп)</t>
  </si>
  <si>
    <t>Цукри хімічно чисті, н. в. і. у.; ефіри та естери цукрів і їхні солі, н. в. і. у.- за кодом ДК 016:2010 -21.10.4                                                                                                                               ( Лікарські засоби для лікування захворювань крові й органів кровотворення -за кодом CPV за ДК 021:2015 -33621000-9 )</t>
  </si>
  <si>
    <t xml:space="preserve"> 21.10.4</t>
  </si>
  <si>
    <t>4000,00 (чотири тисячі  гривень 00 коп)</t>
  </si>
  <si>
    <t>Провітаміни, вітаміни й гормони; глікозиди та алкалоїди рослинного походження та їхні похідні; антибіотики - за кодом ДК 016:2010 -21.10.5                                                           (Лікарські засоби для лікування захворювань шлунково-кишкового тракту та розладів обміну речовин -за кодом CPV за ДК 021:2015-33610000-9)</t>
  </si>
  <si>
    <t xml:space="preserve"> 21.10.5</t>
  </si>
  <si>
    <t>+10,00</t>
  </si>
  <si>
    <t>Провітаміни, вітаміни й гормони; глікозиди та алкалоїди рослинного походження та їхні похідні; антибіотики - за кодом ДК 016:2010-21.10.5                                                                  (Лікарські засоби для лікування захворювань крові й органів кровотворення-за кодом CPV за ДК 021:2015  -33621000-9)</t>
  </si>
  <si>
    <t>Провітаміни, вітаміни й гормони; глікозиди та алкалоїди рослинного походження та їхні похідні; антибіотики - за кодом ДК 016:2010  -21.10.5                                                             (Лікарські засоби для лікування захворювань серцево-судинної системи -за кодом CPV за ДК 021:2015  -33622000-6)</t>
  </si>
  <si>
    <t>Провітаміни, вітаміни й гормони; глікозиди та алкалоїди рослинного походження та їхні похідні; антибіотики  - за кодом ДК 016:2010 -21.10.5                                                            (Лікарські засоби для лікування дерматологічних захворюваньза кодом CPV за ДК 021:2015  -33631000-2)</t>
  </si>
  <si>
    <t>Провітаміни, вітаміни й гормони; глікозиди та алкалоїди рослинного походження та їхні похідні; антибіотики  - за кодом ДК 016:2010  -21.10.5                                                            (Лікарські засоби для лікування захворювань сечостатевої системи та статеві гормони -за кодом CPV за ДК 021:2015  -33641000-5)</t>
  </si>
  <si>
    <t>Провітаміни, вітаміни й гормони; глікозиди та алкалоїди рослинного походження та їхні похідні; антибіотики - за кодом ДК 016:2010  - 21.10.5                                                                             (Гормональні препарати системної дії, крім статевих гормонів -за кодом CPV за ДК 021:2015  -33642000-2)</t>
  </si>
  <si>
    <t>8364,00 (вісім тисяч  триста шістдесят чотири гривні 00 коп)</t>
  </si>
  <si>
    <t>Провітаміни, вітаміни й гормони; глікозиди та алкалоїди рослинного походження та їхні похідні; антибіотики - за кодом ДК 016:2010 -21.10.5                                                                            (Загальні протиінфекційні засоби для системного застосування та вакцини -за кодом CPV за ДК 021:2015  -33651000-8 )</t>
  </si>
  <si>
    <t>11290,00 (одинадцять тисяч двісті дев'яносто гривень 00 коп)</t>
  </si>
  <si>
    <t>Провітаміни, вітаміни й гормони; глікозиди та алкалоїди рослинного походження та їхні похідні; антибіотики - за кодом ДК 016:2010 -21.10.5                                                                    (Антинеопластичні засоби та імуномодулятори -за кодом CPV за ДК 021:2015  -33652000-5)</t>
  </si>
  <si>
    <t>6000,00 (шість тисяч гривень 00 коп)</t>
  </si>
  <si>
    <t>Провітаміни, вітаміни й гормони; глікозиди та алкалоїди рослинного походження та їхні похідні; антибіотики  - за кодом ДК 016:2010 -21.10.5                                                             (Лікарські засоби для лікування хвороб нервової системи-за кодом CPV за ДК 021:2015  -33661000-1)</t>
  </si>
  <si>
    <t>Провітаміни, вітаміни й гормони; глікозиди та алкалоїди рослинного походження та їхні похідні; антибіотики - за кодом ДК 016:2010 -21.10.5                                                                                                (Лікарські засоби для лікування хвороб дихальної системи -за кодом CPV за ДК 021:2015  -33670000-7)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</si>
  <si>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(Медичні матеріали нехімічні та гематологічні одноразового застосування -за кодом CPV за ДК 021:2015  -33141000-0)</t>
  </si>
  <si>
    <t xml:space="preserve"> 21.20.2</t>
  </si>
  <si>
    <t>5000,00 (п'ять тисяч гривень 00 коп)</t>
  </si>
  <si>
    <t>перевязка</t>
  </si>
  <si>
    <t>Залози та інші органи, екстракти цих речовин та інші речовини людського чи тваринного походження, н. в. і. у.  - за кодом ДК 016:2010 -21.10.6                                                   (Інсулін- за кодом CPV за ДК 021:2015- 33615100-5) (Актрапид, протафан)</t>
  </si>
  <si>
    <t>5406,79 (п'ять тисяч чотириста шість гривень 79 коп.)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</si>
  <si>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 Лікарські засоби для лікування  захворювань шлунково-кишкового тракту та розладів обміну речовин - за кодом CPV за ДК 021:2015 -33610000-9 )</t>
  </si>
  <si>
    <t>+2651,30</t>
  </si>
  <si>
    <t>+4045,35</t>
  </si>
  <si>
    <t>18981,37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</si>
  <si>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  Протидіабетичні лікарські засоби - за кодом CPV за ДК 021:2015 -33615000-4)</t>
  </si>
  <si>
    <t>162701,10 (сто шістдесят дві тисячі сімсот одна гривня 10 коп)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</si>
  <si>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(  Гормональні препарати системної дії,крім статевих гормонів - за кодом CPV за ДК 021:2015 -33642000-2)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</si>
  <si>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                                                                                                             ( Реактиви та контрастні речовини -за кодом CPV за ДК 021:2015 - 33696000-5 )</t>
  </si>
  <si>
    <t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 (Вироби для клінічних досліджень / випробувань - за кодом CPV за ДК 021:2015 -33698000-9)</t>
  </si>
  <si>
    <t>7000,00 (сім тисяч  гривень 00 коп)</t>
  </si>
  <si>
    <t>Ліки за кодом ДК 016:2010-21.20.1                                                                        (Лікарські засоби для лікування захворювань шлунковокишкового тракту та розладів обміну речовин-за кодом CPV за ДК 021:2015  - 33610000-9)</t>
  </si>
  <si>
    <t xml:space="preserve"> 21.20.1</t>
  </si>
  <si>
    <t>+1301,98</t>
  </si>
  <si>
    <t>7000,00 (сім тисяч гривень 00 коп)</t>
  </si>
  <si>
    <t>Ліки- за кодом ДК 016:2010 - 21.20.1                                                                                  (Лікарські засоби для лікування захворювань крові й органів кровотворення-за кодом CPV за ДК 021:2015  -33621000-9 )</t>
  </si>
  <si>
    <t>Ліки- за кодом ДК 016:2010 - 21.20.1                                                                                           (Лікарські засоби для лікування захворювань серцево-судинної системи -за кодом CPV за ДК 021:2015  -33622000-6)</t>
  </si>
  <si>
    <t>Ліки- за кодом ДК 016:2010 - 21.20.1                                                                             (Лікарські засоби для лікування дерматологічних захворювань-за кодом CPV за ДК 021:2015  -33631000-2 )</t>
  </si>
  <si>
    <t>Ліки- за кодом ДК 016:2010  - 21.20.1                                                                                         (Лікарські засоби для лікування захворювань опорно-рухового апарату -за кодом CPV за ДК 021:2015  -33632000-9)</t>
  </si>
  <si>
    <t>Ліки- за кодом ДК 016:2010  - 21.20.1                                                                    (Загальні протиінфекційні засоби для системного застосування та вакцини -за кодом CPV за ДК 021:2015  -33651000-8)</t>
  </si>
  <si>
    <t>Ліки- за кодом ДК 016:2010- 21.20.1                                                                 (Антинеопластичні засоби та імуномодулятори-за кодом CPV за ДК 021:2015  - 33652000-5)</t>
  </si>
  <si>
    <t>Ліки- за кодом ДК 016:2010 - 21.20.1                                                                                                    (Лікарські засоби для лікування хвороб нервової системи- за кодом CPV за ДК 021:2015-33661000-1)</t>
  </si>
  <si>
    <t>9700,00 (дев'ять тисяч  сімсотгривень 00 коп)</t>
  </si>
  <si>
    <t>Ліки- за кодом ДК 016:2010 - 21.20.1                                                                   ( Засоби для лікування захворювань органів чуття- за кодом CPV за ДК 021:2015  -33662000-8)</t>
  </si>
  <si>
    <t>Ліки- за кодом ДК 016:2010 - 21.20.1                                                                                                      (Лікарські засоби для лікування хвороб дихальної системиза кодом CPV за ДК 021:2015-33670000-7)</t>
  </si>
  <si>
    <t>Ліки- за кодом ДК 016:2010 - 21.20.1                                                                                 (Лікарські засоби різні-за кодом CPV за ДК 021:2015  -33690000-3 )</t>
  </si>
  <si>
    <t>3500,00 (три тисячі п'ятсот гривень 00 коп)</t>
  </si>
  <si>
    <t>Ліки- за кодом ДК 016:2010 - 21.20.1                                                                                       (Протипаразитні засоби, інсектициди та репелентиза кодом CPV за ДК 021:2015  -33691000-0)</t>
  </si>
  <si>
    <t>1500,00 (одна тисяча п'ятсот гривень 00 коп)</t>
  </si>
  <si>
    <t>Ліки- за кодом ДК 016:2010 -21.20.1 (Протитромбозні засоби - за кодом CPV за ДК 021:2015-33621100-0)(Гепарін)</t>
  </si>
  <si>
    <t>536,71 ( п'ятсот тридцять шість гривень 71 коп.)</t>
  </si>
  <si>
    <t>Ліки -за кодом ДК 016:2010 -21.20.1  (Кровозамінники та перфузійні розчини- за кодом CPV за ДК 021:2015- 33621400-3) (Натрію хлорид)</t>
  </si>
  <si>
    <t>16,48 (шістнадцять гривень 48 коп.)</t>
  </si>
  <si>
    <t>Препарати фармацевтичні, інші- за кодом ДК 016:2010  -21.20.2                                                                                                                                            (Медичні матеріали нехімічні та гематологічні одноразового застосування -за кодом CPV за ДК 021:2015  -33141000-0)</t>
  </si>
  <si>
    <t>35150,58 (тридцять  п'ять тисяч сто п'ятдесят гривень 58 коп)</t>
  </si>
  <si>
    <t>Препарати фармацевтичні, інші- за кодом ДК 016:2010  -21.20.2                                                                                                                                                                               (Загальні протиінфекційні засоби для системного застосування та вакцини -за кодом CPV за ДК 021:2015  -33651000-8)</t>
  </si>
  <si>
    <t>8500,00 (всім  тисяч п'ятсот гривень 00 коп)</t>
  </si>
  <si>
    <t>Препарати фармацевтичні, інші- за кодом ДК 016:2010  -21.20.2                                                                                                                                                                        (Апаратура та приладдя для діагностики і рентгенодіагностики -33124000-5 )</t>
  </si>
  <si>
    <t xml:space="preserve"> Препарати фармацевтичні, інші- за кодом ДК 016:2010 -21.20.2                                                                                       ( Вироби з нетканих матеріалів- за кодом CPV за ДК 021:2015-39550000-2)(Маски медичні)</t>
  </si>
  <si>
    <t>1320,00 (одна тисяча триста двадцять гривень 00 коп.)</t>
  </si>
  <si>
    <t xml:space="preserve"> Препарати фармацевтичні, інші- за кодом ДК 016:2010 -21.20.2                                                                                       (Діагностичні засоби -за кодом CPV за ДК 021:2015 -33694000-1 )(pH-тест №50, смужки індикаторні)</t>
  </si>
  <si>
    <t>300,00 (триста гривень)</t>
  </si>
  <si>
    <t>Тканини проґумовані (крім кордів до шин) - за кодом ДК 016:2010 - 22.19.5                                      (Прогумовані тканини -за кодом CPV за ДК 021:2015  -19513000-5 )</t>
  </si>
  <si>
    <t>22.19.5</t>
  </si>
  <si>
    <t>клеенка</t>
  </si>
  <si>
    <t>Предмети одягу та аксесуари одягу з вулканізованої ґуми (крім виготовлених з твердої ґуми)- за кодом ДК 016:2010 -22.19.6                                                                (Медичні матеріали нехімічні та гематологічні одноразового застосування -за кодом CPV за ДК 021:2015  -33141000-0)</t>
  </si>
  <si>
    <t>50800,00 (п'ятдесят тисяч  вісімсот гривень 00 коп)</t>
  </si>
  <si>
    <t xml:space="preserve">Вироби пластмасові інші, н. в. і. у. - за кодом ДК 016:2010 -22.29.2                                                                       (Пластмасові вироби  -за кодом CPV за ДК 021:2015  - 19520000-7)       
Вироби з полістиролу - за кодом CPV за ДК 021:2015 19521000-4                                                                                                                                                           Меблі медичного призначення -за кодом CPV за ДК 021:2015 -33192000-2                                                                                                                                                                                                                      Пробірки -за кодом CPV за ДК 021:2015- 33192500-7) 
</t>
  </si>
  <si>
    <t>пробирки</t>
  </si>
  <si>
    <t>Скло технічне та інше скло - за кодом ДК 016:2010 -23.19.2                                                                      (Скляний посуд лабораторного призначення -за кодом CPV за ДК 021:2015 -33793000-5 )</t>
  </si>
  <si>
    <t>23.19.2</t>
  </si>
  <si>
    <t>580,00 (п'ятсот вісідесят гривень 00 коп)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</si>
  <si>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  Термометри -за кодом CPV за ДК 021:2015  -38412000-6)</t>
  </si>
  <si>
    <t>26.51.5</t>
  </si>
  <si>
    <t>термометр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</si>
  <si>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(Системи стеження-за кодом CPV за ДК 021:2015 -35125000-6)(Чип-сенсор)</t>
  </si>
  <si>
    <t>9147,00 (дев'ять  тисяч  сто сорок сім гривень 00 коп)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</si>
  <si>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 Системи реєстрації медичної інформації та дослідне обладнання-за кодом CPV за ДК 021:2015 -33120000-7)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</si>
  <si>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(Прилади для серцевого моніторингу-за кодом CPV за ДК 021:2015 - 33123210-3 )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</si>
  <si>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   Термометри-за кодом CPV за ДК 021:2015 -38412000-6)</t>
  </si>
  <si>
    <t>374,64 (триста сімдесят чотири гривні 64 коп)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</si>
  <si>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  Гігрометри-за кодом CPV за ДК 021:2015 -38414000-0)</t>
  </si>
  <si>
    <t>336,00 (триста тридцять шість гривень 00 коп)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</si>
  <si>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(Сенсори-за кодом CPV за ДК 021:2015-35125100-7 ) (Чип-сенсор)</t>
  </si>
  <si>
    <t>1752,00 (одна тисяча сімсот п'ятдесят дві гривні 00 коп.)</t>
  </si>
  <si>
    <t xml:space="preserve"> Устатковання радіологічне, електромедичне та електротерапевтичне устатковання-за кодом ДК 016:2010-26.60.1                                                                           (  Електронне приладдя- за кодом CPV за ДК 021:2015-  31711000-3 )(Мікрозонд)</t>
  </si>
  <si>
    <t>1710,00 (одна тисяча сімсот десять гривень 00 коп.)</t>
  </si>
  <si>
    <t>Інструменти і прилади медичні, хірургічні та стоматологічні за кодом ДК 016:2010 - за кодом ДК 016:2010 - 32.50.1                                                                                                                                                             ( Системи реєстрації медичної інформації та дослідне обладнання-за кодом CPV за ДК 021:2015 -33120000-7)</t>
  </si>
  <si>
    <t>320,00 (триста двадцять  гривень 00 коп)</t>
  </si>
  <si>
    <t>Гігрометри</t>
  </si>
  <si>
    <t xml:space="preserve">Інструменти і прилади медичні, хірургічні та стоматологічні за кодом ДК 016:2010 - за кодом ДК 016:2010 - 32.50.1                                                                                                                                                          ( Обладнання для обстеження серцево-судинної системи-за кодом CPV за ДК 021:2015-33123000-8 ) (Електрод енцефалографічний («штир» – 4 шт.) </t>
  </si>
  <si>
    <t>2760,00 (дві тисячі сімсот шістдесят гривень 00 коп)</t>
  </si>
  <si>
    <t>Інструменти і прилади медичні, хірургічні та стоматологічні за кодом ДК 016:2010 - за кодом ДК 016:2010 - 32.50.1                                                                                                                                                          (Прилади для серцевого моніторингу-за кодом CPV за ДК 021:2015 - 33123210-3 )</t>
  </si>
  <si>
    <t>533,00 (п'ятсот тридцять три гривні 00 коп)</t>
  </si>
  <si>
    <t>Інструменти і прилади медичні, хірургічні та стоматологічні за кодом ДК 016:2010 -32.50.1                                                                                                                                    (  Стоматологічні ручні інструменти -за кодом CPV за ДК 021:2015  33131000-7) (Шпатель)</t>
  </si>
  <si>
    <t>32.50.1</t>
  </si>
  <si>
    <t>236,00 (двісті тридцять шість  гривень 00 коп)</t>
  </si>
  <si>
    <t>Інструменти і прилади медичні, хірургічні та стоматологічні за кодом ДК 016:2010 -32.50.1                                                                                                                                    ( Медичні матеріали нехімічні та гематологічні одноразового застосування -за кодом CPV за ДК 021:2015  33141000-0)</t>
  </si>
  <si>
    <t>51904,80 (п'ятдесят одна тисяча дев'ятсот чотири  гривні 80 коп)</t>
  </si>
  <si>
    <t>шприц</t>
  </si>
  <si>
    <t>Інструменти і прилади медичні, хірургічні та стоматологічні- за кодом ДК 016:2010 -32.50.1                                                                                                                  (Контейнери та пакети для забору матеріалу для аналізів, дренажі та комплекти - за кодом CPV за ДК 021:2015- 33141600-6)(Піпетка-контейнер зі скарифікатором для забору крові)</t>
  </si>
  <si>
    <t>1214,45 (одна тисяча двісті чотирнадцять гривень 45 коп.)</t>
  </si>
  <si>
    <t>Прилади для контролювання інших фізичних характеристик -  за кодом ДК 016:2010 - 26.51.5                                                                                                                                                                 (Електрична, електромагнітна та механічна лікувальна апаратура -за кодом CPV за ДК 021:2015 -33158000-2  )(Маски для апарату електросон)</t>
  </si>
  <si>
    <t>(Інструменти та прилади терапевтичні; приладдя, протези та ортопедичні пристрої-  за кодом ДК 016:2010 – 32.50.2 )                                                                                                                                                                                            (Електрична, електромагнітна та механічна лікувальна апаратура -за кодом CPV за ДК 021:2015 -33158000-2  )(Маски для апарату електросон)</t>
  </si>
  <si>
    <t>1500,00 (одна тисяча  п'ятсот гривень 00 коп.)</t>
  </si>
  <si>
    <t>Інструменти і прилади медичні, хірургічні та стоматологічні за кодом ДК 016:2010 -32.50.1                                                                                                                                    (Прилади та інструменти для переливання та вливання крові / розчинів -за кодом CPV за ДК 021:2015  -33194000-6 )</t>
  </si>
  <si>
    <t>30985,38 (тридцять тисяч дев'ятсот вісімдесят п'ять тривень 38 коп.)</t>
  </si>
  <si>
    <t>система</t>
  </si>
  <si>
    <t>Інструменти і прилади медичні, хірургічні та стоматологічні за кодом ДК 016:2010 -32.50.1                                                                                                                                    (Прилади та інструменти для переливання та вливання крові / розчинів - за кодом CPV за ДК 021:2015- 33194000-6)(Системи ПР)</t>
  </si>
  <si>
    <t>5,80 (п'ять тривень 80 коп.)</t>
  </si>
  <si>
    <t>Інструменти і прилади медичні, хірургічні та стоматологічні за кодом ДК 016:2010 -32.50.1                                                                                                                                    ( Обладнання для вимірювання тиску -за кодом CPV за ДК 021:2015- 38423000-6)</t>
  </si>
  <si>
    <t>2500,00 (дві тисячі п'ятсот  гривень 00 коп)</t>
  </si>
  <si>
    <t>тонометр</t>
  </si>
  <si>
    <t>Вироби медичної та хірургічної призначеності, інші за кодом ДК 016:2010 -32.50.5                                                                                                                                                       (Гліцерин-за кодом CPV за ДК 021:2015-24964000-9)  (Гель для УЗД)</t>
  </si>
  <si>
    <t>1700,00 (одна тисяча  сімсот гривень 00 коп)</t>
  </si>
  <si>
    <t>Разом по КЕКВ 2220</t>
  </si>
  <si>
    <t>1186728,50 (один мільйон сто вісімдесят шість тисяч сімсот двадцять вісім  гривень 50 коп.)</t>
  </si>
  <si>
    <t xml:space="preserve"> в т.ч.: 1010000,00 загальний фонд,  139112,50 натуральні надходження, 37616,00 спеціальний фонд</t>
  </si>
  <si>
    <t xml:space="preserve"> в т.ч.: 1010000,00 загальний фонд,  132701,10 натуральні надходження, 24245,00 спеціальний фонд</t>
  </si>
  <si>
    <t>Овочі листкові за кодом ДК 016:2010-01.13.1                                                                                                           (Овочі- за кодом CPV за ДК 021:2015-03221000-6)            (Капуста)</t>
  </si>
  <si>
    <t>39602,00 (тридцять дев'ять тисяч шістсот дві гривні 00 коп.)</t>
  </si>
  <si>
    <t>Овочі корнеплідні, цибулинні та бульбоплідні  за кодом ДК 016:2010 -01.13.4                                                                                         (Овочі- за кодом CPV за ДК 021:2015-03221000-6)(цибуля, морква, буряк)</t>
  </si>
  <si>
    <t>01.13.4</t>
  </si>
  <si>
    <t>53367,50 (п'ятдесят три  тисячі триста шістдесят сім гривень 50 коп.)</t>
  </si>
  <si>
    <t>Коренеплоди та бульби їстівні з високим умістом крохмалю та інуліну -  за кодом ДК 016:2010 - 01.13.5                                                                                                                                                                ( Картопля та сушені овочі -за кодом CPV за ДК 021:2015 -03212000-0 )</t>
  </si>
  <si>
    <t>01.13.5</t>
  </si>
  <si>
    <t>130012,75 (сто тридцять тисяч дванадцять гривень 75 коп.)</t>
  </si>
  <si>
    <t xml:space="preserve"> Яйця у шкаралупі, свіжі за кодом ДК 016:2010- 01.47.2                                                                                            ( Продукція тваринництва -за кодом CPV за ДК 021:2015- 03142000-8 )(Яйця)</t>
  </si>
  <si>
    <t>01.47.2</t>
  </si>
  <si>
    <t>68788,00 (шістдесят вісім тисяч сімсот вісімдесят вісім гривень 00 коп.)</t>
  </si>
  <si>
    <t xml:space="preserve"> М'ясо свійської птиці, свіже чи охолоджене за кодом ДК 016:2010-10.12.1                                                                                          (М’ясо свійської птиці    -за кодом CPV за ДК 021:2015-15112000-6  ) (М’ясо свійської птиці охолоджене)</t>
  </si>
  <si>
    <t>10.39.1</t>
  </si>
  <si>
    <t>64500,00 (шістдесят чотири тисячі п'ятсот гривень 00 коп.)</t>
  </si>
  <si>
    <t xml:space="preserve"> Плоди та овочі, оброблені та законсервовані, крім картоплі за кодом ДК 016:2010-10.39.1                                                                                               (Оброблені овочі-за кодом CPV за ДК 021:2015-15331000-7) (Томатна паста)</t>
  </si>
  <si>
    <t>10448,00 (десять тисяч чотириста сорок вісім гривень 00 коп.)</t>
  </si>
  <si>
    <t>Плоди й горіхи, оброблені та законсервовані ДК 016:2010-10.10.39.2                                                                          ( Оброблені фрукти та горіхи   -за кодом CPV за ДК 021:2015-15332000-4)(Повидло,сухофрукти)</t>
  </si>
  <si>
    <t>1540,00 ( одна тисяча п'ятсот сорок гривень 00 коп.)</t>
  </si>
  <si>
    <t xml:space="preserve"> Олії рафіновані за кодом ДК 016:2010-10.41.5                                                                                          (Рафіновані олії-за кодом CPV за ДК 021:2015-15421000-5 )</t>
  </si>
  <si>
    <t>10.41.5</t>
  </si>
  <si>
    <t>45600,00 (сорок п'ять тисяч  шістсот гривень 00 коп. )</t>
  </si>
  <si>
    <t xml:space="preserve"> Молоко та вершки, рідинні, оброблені за кодом ДК 016:2010-10.51.1                                                                                (  Молоко-за кодом CPV за ДК 021:2015-15511000-3 )(Молоко пастеризоване 3,2%)</t>
  </si>
  <si>
    <t>10.51.1</t>
  </si>
  <si>
    <t>+4174,60</t>
  </si>
  <si>
    <t>29000,00 (двадцять дев'ять тисяч  гривень 00 коп. )</t>
  </si>
  <si>
    <t>Рис напівобрушений чи повністю обрушений, або лущений чи дроблений ДК 016:2010-10.61.1                                                                                   ( Рис оброблений  -за кодом CPV за ДК 021:2015-15614000-5)</t>
  </si>
  <si>
    <t>9000,00 (дев'ять тисяч гривень 00 коп.)</t>
  </si>
  <si>
    <t>Борошно зернових і овочевих культур; їхні сумішіза кодом ДК 016:2010-10.61.2            ( Борошно зернових та овочевих культур і супутня продукція -за кодом CPV за ДК 021:2015- 15612000-1) (Борошно пшеничне)</t>
  </si>
  <si>
    <t>10.61.2</t>
  </si>
  <si>
    <t>6750,00 (шість тисяч сімсот п'ятдесят гривень 00 коп. )</t>
  </si>
  <si>
    <t xml:space="preserve"> Крупи, крупка, гранули та інші продукти з зерна зернових культурза кодом ДК 016:2010-10.61.3                                                                     ( Продукція із зерна зернових культур  -за кодом CPV за ДК 021:2015- 15613000-8 (Крупи: ячна, пшенична, пшоно, перлова, гречана)</t>
  </si>
  <si>
    <t xml:space="preserve">10.61.3 </t>
  </si>
  <si>
    <t>63123,75 (шістдесят три тисячі сто двадцять три гривні 75 коп. )</t>
  </si>
  <si>
    <t xml:space="preserve"> Крупи, крупка, гранули та інші продукти з зерна зернових культурза кодом ДК 016:2010-10.61.3                                                                     ( Манна крупа  -за кодом CPV за ДК 021:2015- 15625000-5 )</t>
  </si>
  <si>
    <t>1840,00 (одна тисяча вісімсот сорок гривень 00 коп. )</t>
  </si>
  <si>
    <t xml:space="preserve"> Вироби хлібобулочні, кондитерські та кулінарні, борошняні, нетривалого зберігання за кодом ДК 016:2010-10.71.1 
( Хлібопродукти -за кодом CPV за ДК 021:2015-15811000-6 ) (Хліб)</t>
  </si>
  <si>
    <t>10.71.1</t>
  </si>
  <si>
    <t>82560,00 (вісімдесят дві тисячі п'ятсот шістдесят гривень 00 коп. )</t>
  </si>
  <si>
    <t>Макарони, локшина, кускус і подібні борошняні вироби-за кодом ДК 016:2010-10.73.1                                                                                                                                                                ( Макаронні вироби -за кодом CPV за ДК 021:2015 -15850000-1 )</t>
  </si>
  <si>
    <t>1500,00 (одна тисяча п'ятсот гривень 00 коп. )</t>
  </si>
  <si>
    <t xml:space="preserve"> Цукор-сирець, тростинний і очищений тростинний чи буряковий цукор (сахароза); меляса за кодом ДК 016:2010-10.81.1.                      ( Цукор  -за кодом CPV за ДК 021:2015- 15831000-2 )</t>
  </si>
  <si>
    <t>10.81.1</t>
  </si>
  <si>
    <t>34770,00 (тридцять чотири тисячі сімсот сімдесят гривень 00 коп. )</t>
  </si>
  <si>
    <t xml:space="preserve"> Чай і кава, оброблені за кодом ДК 016:2010-10.83.1                                                                                                          ( Чай -за кодом CPV за ДК 021:2015-  15863000-5)</t>
  </si>
  <si>
    <t>10.83.1</t>
  </si>
  <si>
    <t>1390,00 (одна тисяча триста дев'яносто гривень 00 коп. )</t>
  </si>
  <si>
    <t>Оцет; соуси; суміші приправ; борошно та крупка гірчичні; гірчиця готова за кодом ДК 016:2010-10.84.1                                                                                                               ( Оцет; соуси; приготовані заправки; гірчичний порошок та гірчична макуха; столова гірчиця -за кодом CPV за ДК 021:2015-15871000-4 )</t>
  </si>
  <si>
    <t>10.84.1</t>
  </si>
  <si>
    <t>1540,00 (одна тисяча п'ятсот сорок гривень 00 коп. )</t>
  </si>
  <si>
    <t xml:space="preserve"> Прянощі, оброблені за кодом ДК 016:2010-10.84.2, Сіль харчова за кодом ДК 016:2010-10.84.3                                                                                                      ( Трави та спеції  -за кодом CPV за ДК 021:2015-15872000-1)(Сіль, лавровий лист)</t>
  </si>
  <si>
    <t>1563,00 (одна тисяча п'ятсот шістдесят три гривні 00 коп. )</t>
  </si>
  <si>
    <t>Супи, яйця, дріжджі та інші харчові продукти; екстракти та соки з м'яса, риби й водяних безхребетних за кодом ДК 016:2010-10.89.1                                                                                      ( Дріжджі-за кодом CPV за ДК 021:2015-15898000-9)</t>
  </si>
  <si>
    <t>225,00 (двісті двадцять п'ять  гривень 00 коп. )</t>
  </si>
  <si>
    <t xml:space="preserve"> Солі металів галоїдні; гіпохлорити, хлорати й перхлорати за кодом ДК 016:2010-20.13.3 (  Сульфіди, сульфати; нітрати, фосфати та карбонати- за кодом CPV за ДК 021:2015 - 24313000-1) (Сода)</t>
  </si>
  <si>
    <t>20.13.3</t>
  </si>
  <si>
    <t>2880,00 (дві тисячі вісімсот  вісімдесят гривень 00 коп. )</t>
  </si>
  <si>
    <t>Разом по КЕКВ 2230</t>
  </si>
  <si>
    <t>650000,00 (шістсот п'ятдесят тисяч гривень 00 коп.)</t>
  </si>
  <si>
    <t xml:space="preserve"> Ремонтування та технічне обслуговування машин загальної призначеності за кодом ДК 016:2010-33.12.1                                                                                                                   (Послуги з ремонту і технічного обслуговування контрольних приладів- за кодом CPV за ДК 021:2015- 50413000-3) (50413200-5 Послуги з ремонту і технічного обслуговування протипожежного обладнання-обслуговування вогнегасників)</t>
  </si>
  <si>
    <t>33.12.1</t>
  </si>
  <si>
    <t>390,00 (триста дев'яносто гривень 00 коп.)</t>
  </si>
  <si>
    <t xml:space="preserve"> Ремонтування та технічне обслуговування машин загальної призначеності за кодом ДК 016:2010-33.12.1                                                                                                                   ( Послуги з технічного обслуговування ліфтів- за кодом CPV за ДК 021:2015- 50750000-7 )</t>
  </si>
  <si>
    <t>10850,64 (десять тисяч вісімсот п'ятдесят гривень 64 коп.)</t>
  </si>
  <si>
    <t xml:space="preserve"> </t>
  </si>
  <si>
    <t xml:space="preserve"> Ремонтування та технічне обслуговування електронного й оптичного устатковання за кодом ДК 016:2010-33.13.1                                                                                                                   (Послуги з ремонту і технічного обслуговування медичного і високоточного обладнання - за кодом CPV за ДК 021:2015-  50400000-9)</t>
  </si>
  <si>
    <t>38.11.2</t>
  </si>
  <si>
    <t>987,72 (дев'ятсот вісімдесят сім гривень 72 коп.)</t>
  </si>
  <si>
    <t xml:space="preserve"> Ремонтування та технічне обслуговування електронного й оптичного устатковання за кодом ДК 016:2010-33.13.1                                                                                                                   ( Послуги з ремонту і технічного обслуговування медичного та хірургічного обладнання - за кодом CPV за ДК 021:2015-  50420000-5)(Заміна манометрів)</t>
  </si>
  <si>
    <t>1680,00 (одна тисяча шістсот вісімдесят гривень 00 коп.)</t>
  </si>
  <si>
    <t xml:space="preserve"> Ремонтування та технічне обслуговування електронного й оптичного устаткованняза кодом ДК 016:2010-33.13.1                                                                                                                   ( Послуги з ремонту і технічного обслуговування медичного обладнання- за кодом CPV за ДК 021:2015-  50421000-2)</t>
  </si>
  <si>
    <t>5545,00 (п'ять тисяч п'ятсот сорок п'ять гривень 00 коп)</t>
  </si>
  <si>
    <t xml:space="preserve"> Збирання безпечних відходів, придатних для вторинного використовування - кодом ДК 016:2010 - 38.11.1                                                                                     (  Послуги з поводження із безпечними сміттям і відходами та їх утилізація  -за кодом CPV за ДК 021:2015-90513000-6)(вилучення дорогоцінних металів)</t>
  </si>
  <si>
    <t>3606,00 (три тисячі шістсот шість гривень 00 коп.)</t>
  </si>
  <si>
    <t>Збирання безпечних відходів, непридатних для вторинного використовуванняза - кодом ДК 016:2010 - 38.11.2                                                                                      ( Послуги з перевезення сміття  -за кодом CPV за ДК 021:2015-90512000-9)</t>
  </si>
  <si>
    <t>19160,30 (дев'ятнадцть тисяч сто шістдесят гривень 30 коп.)</t>
  </si>
  <si>
    <t xml:space="preserve"> Збирання небезпечних відходів за - кодом ДК 016:2010 - 38.12.1                                                                                  ( Послуги у сфері поводження з радіоактивними, токсичними, медичними та небезпечними відходами-за кодом CPV за ДК 021:2015                                            - 90520000-8) (Утилізація лікарських засобів)</t>
  </si>
  <si>
    <t>Будування нежитлових будівель (нове будівництво, реконструкція, капітальний і поточні ремонти) за кодом ДК 016:2010-41.00.4                                                                            ( Фасадні роботи- за кодом CPV за ДК 021:2015- 45443000-4)</t>
  </si>
  <si>
    <t>32278,13 (тридцять дві тисячі двісті сімдесят вісім  гривень 13 коп.)</t>
  </si>
  <si>
    <t xml:space="preserve"> -9028,80 cпеціальний фонд  згідно затвердженого кошторису на 2016 рік</t>
  </si>
  <si>
    <t>Технічне обслуговування та ремонтування інших автотранспортних засобів -  за кодом ДК 016:2010 -45.20.2                                                                          ( Послуги з ремонту і технічного обслуговування автомобілів-за кодом CPV за ДК 021:2015 -50112000-3 )</t>
  </si>
  <si>
    <t>7079,00 (сім тисяч сімдесят  дев'ять гривень 00 коп)</t>
  </si>
  <si>
    <t>Перевезення вантажів дорожніми транспортними засобами за кодом ДК 016:2010-49.41.1                                                                           ( 60100000-9 - Послуги з автомобільних перевезень- за кодом CPV за ДК 021:2015- 60100000-9)</t>
  </si>
  <si>
    <t>1773,90 (одна тисяча сімсот сімдесят три гривні 90 коп.)</t>
  </si>
  <si>
    <t xml:space="preserve"> Програмне забезпечення прикладне на фізичних носіях)-  за кодом ДК 016:2010 - 58.29.2 - (Пакети програмного забезпечення для роботи з документами, графікою, зображеннями, планування часу та офісного програмного забезпечення- за кодом CPV за ДК 021:2015 -48300000-1)                                                                                                                                        </t>
  </si>
  <si>
    <t>20554,68 (двадцять тисяч п'ятсот  п'ятдесят чотири гривны 68 коп)</t>
  </si>
  <si>
    <t xml:space="preserve">Послуги щодо передавання даних і повідомлень-за кодом ДК 016:2010-61.10.1                                                                         (Послуги телефонного зв’язку та передачі даних  -за кодом CPV за ДК 021:2015 -64210000-1 ) </t>
  </si>
  <si>
    <t>61.10.1</t>
  </si>
  <si>
    <t>16000,00 (шістнадцять тисяч  гривень 00 коп.)</t>
  </si>
  <si>
    <t>Послуги щодо консультування стосовно систем і програмного забезпечення -  за кодом ДК 016:2010 -   62.02.2                                                                                                                                                           ( Послуги з програмування та консультаційні послуги з питань програмного забезпечення -за кодом CPV за ДК 021:2015-72200000-7) (Інформаційно-консультативні послуги по роботі з комп'ютерною програмою)</t>
  </si>
  <si>
    <t>62.02.3</t>
  </si>
  <si>
    <t>2010,00 (дві тисячі  десять гривень 00 коп.)</t>
  </si>
  <si>
    <t xml:space="preserve"> +900,00  спеціальний фонд  Довідка   про зміни до кошторису на 2016 рік</t>
  </si>
  <si>
    <t xml:space="preserve">Послуги щодо технічної допомоги у сфері інформаційних технологій -  за кодом ДК 016:2010 -   62.02.3                                                                                                                                                          (Послуги з підтримки користувачів та з технічної підтримки-за кодом CPV за ДК 021:2015-72253000-3) </t>
  </si>
  <si>
    <t>10386,00 (десять тисяч триста вісімдесят шість гривень 00 коп.)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</si>
  <si>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 -  за кодом ДК 016:2010 -   63.11.1                                                                                                                                                              (Послуги з підтримки користувачів та з технічної підтримки -за кодом CPV за ДК 021:2015 - 72253000-3) (Послуга "Кабінет замовника" )</t>
  </si>
  <si>
    <t>63.11.1</t>
  </si>
  <si>
    <t>1080,00 (одна тисяча вісімдесят гривень 00 коп.)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</si>
  <si>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 -  за кодом ДК 016:2010 -   63.11.1                                                                                                                                                              ( Послуги з обробки даних - за кодом CPV за ДК 021:2015 -72310000-1 ) (Переклад іноземною мовою, виправлення помилок)</t>
  </si>
  <si>
    <t>1032,00 (одна тисяча тридцять дві гривні 00 коп.)</t>
  </si>
  <si>
    <t>Послуги щодо технічного випробовування й аналізування-  за кодом ДК 016:2010-71.20.1                                                                                                                              ( Послуги з технічних випробувань, аналізу та консультування -за кодом CPV за ДК 021:2015-71600000-4 )</t>
  </si>
  <si>
    <t>71.20.1</t>
  </si>
  <si>
    <t>20207,00 (двадцять тисяч двісті сім гривень 00 коп.)</t>
  </si>
  <si>
    <t>Послуги щодо технічного випробовування й аналізування-  за кодом ДК 016:2010-71.20.1                                                                                                                              (  Послуги з технічних випробувань -за кодом CPV за ДК 021:2015-71632000-7 )</t>
  </si>
  <si>
    <t>20892,22 (двадцять тисяч вісімсот дев'яносто дві гривні 00 коп.)</t>
  </si>
  <si>
    <t>Послуги щодо технічного випробовування й аналізування-  за кодом ДК 016:2010-71.20.1                                                                                                                              (   Послуги дослідних лабораторій -за кодом CPV за ДК 021:2015-73111000-3 )</t>
  </si>
  <si>
    <t>1936,00 (одна тисяча дев'ятсот тридцять шість гривень 00 коп.)</t>
  </si>
  <si>
    <t xml:space="preserve"> Послуги систем безпеки за кодом ДК 016:2010-80.20.1                                                                                                                                 ( Послуги з моніторингу сигналів тривоги, що надходять з пристроїв охоронної сигналізації -за кодом CPV за ДК 021:2015-79711000-1 )</t>
  </si>
  <si>
    <t>80.20.1</t>
  </si>
  <si>
    <t>+12100,00</t>
  </si>
  <si>
    <t>9547,20 (дев'ять тисяч п'ятсот сорок сім гривень 20 коп.)</t>
  </si>
  <si>
    <t xml:space="preserve"> +3129,60 cпеціальний фонд  згідно затвердженого кошторису на 2016 рік</t>
  </si>
  <si>
    <t xml:space="preserve"> Послуги щодо очищування, інші за кодом ДК 016:2010-81.29.1                                                                                                                                (   Послуги з ремонту і технічного обслуговування систем центрального опалення-за кодом CPV за ДК 021:2015-50720000-8)</t>
  </si>
  <si>
    <t>5899,20 (пять тисяч вісімсот дев'яносто дев'ять гривень 20 коп.)</t>
  </si>
  <si>
    <t xml:space="preserve"> +5899,2 cпеціальний фонд  згідно затвердженого кошторису на 2016 рік</t>
  </si>
  <si>
    <t xml:space="preserve"> Послуги щодо очищування, інші за кодом ДК 016:2010-81.29.1                                                                                                                                (  Послуги з дератизації-за кодом CPV за ДК 021:2015-90923000-3)</t>
  </si>
  <si>
    <t>1645,00 (одна тисяча шістсот сорок п'ять гривень 00 коп.)</t>
  </si>
  <si>
    <t>Послуги у сфері охорони здоров'я, інші за кодом ДК 016:2010 - 86.90.1                                                                                   (  Послуги лікувальних закладів-за кодом CPV за ДК 021:2015 -85111000-0)(Послуги з проведення бактеріологічних досліджень)</t>
  </si>
  <si>
    <t>Послуги у сфері охорони здоров'я, інші</t>
  </si>
  <si>
    <t>764,64 (сімсот шістдесят чотири гривні 64 коп.)</t>
  </si>
  <si>
    <t>Послуги у сфері охорони здоров'я, інші за кодом ДК 016:2010 - 86.90.1                                                                                   (  Парамедичні послуги-за кодом CPV за ДК 021:2015 -85142000-6)(Санітарно-гігієнічні послуги)</t>
  </si>
  <si>
    <t>335,36 (триста тридцять п'ять гривень 36 коп.)</t>
  </si>
  <si>
    <t>Послуги у сфері охорони здоров'я, інші за кодом ДК 016:2010 - 86.90.1                                                                                   (  Послуги у сфері охорони здоров’я різні-за кодом CPV за ДК 021:2015 -85140000-2 )</t>
  </si>
  <si>
    <t>1596,06 (одна тисяча п'ятсот дев'яносто шість гривень 06 коп.)</t>
  </si>
  <si>
    <t>Послуги у сфері охорони здоров'я, інші за кодом ДК 016:2010 - 86.90.1                                                                                   ( Послуги у сфері охорони праці та техніки безпеки-за кодом CPV за ДК 021:2015 -71317200-5)</t>
  </si>
  <si>
    <t>1075,51 (одна тисяча сімдесят п'ять гривень 51 коп.)</t>
  </si>
  <si>
    <t>Ремонтування комп'ютерів і периферійного устаткування) за кодом ДК 016:2010 - 95.11.1                                                                                   (Ремонт, технічне обслуговування персональних комп’ютерів, офісного, телекомунікаційного та аудіовізуального обладнання,а також супутні послуги-за кодом CPV за ДК 021:2015 - 50300000-8)</t>
  </si>
  <si>
    <t>96.01.1</t>
  </si>
  <si>
    <t>+5020,74</t>
  </si>
  <si>
    <t>+9848,48</t>
  </si>
  <si>
    <t>10915,00 ( десять тисяч дев'ятсот п'ятнадцять гривень 00 коп)</t>
  </si>
  <si>
    <t xml:space="preserve"> +1400,00 cпеціальний фонд  згідно затвердженого кошторису на 2016 рік</t>
  </si>
  <si>
    <t>Послуги щодо прання та хімічного чищення текстильних і хутряних виробів - -  за кодом ДК 016:2010 - 96.01.1                                                                                                                                                                    ( Послуги з прання і сухого чищення -за кодом CPV за ДК 021:2015 - 98310000-9)</t>
  </si>
  <si>
    <t>38763,44 (тридцять вісім тисяч сімсот шістдесят три гривні 44 коп.)</t>
  </si>
  <si>
    <t xml:space="preserve"> +2647,00 cпеціальний фонд  згідно затвердженого кошторису на 2016 рік</t>
  </si>
  <si>
    <t>Разом по КЕКВ 2240</t>
  </si>
  <si>
    <t>248326,00 (двісті сорок вісім тисяч триста двадцять шість гривень 00 коп.)</t>
  </si>
  <si>
    <t>в т.ч. 20000,00 загальний фонд, 228326,00 спеціальний фонд</t>
  </si>
  <si>
    <t>Вироби паперові та картонні, іншіза кодом ДК 016:2010-17.29.1                                                                    (Транспортні квитки- за кодом CPV за ДК 021:2015-34980000-0)</t>
  </si>
  <si>
    <t>17.29.1</t>
  </si>
  <si>
    <t>2250,00 ( дві тисячі двісті п'ятдесят гривень 00 коп.)</t>
  </si>
  <si>
    <t>Разом по КЕКВ  2250</t>
  </si>
  <si>
    <t xml:space="preserve"> Послуги каналізаційні - за кодом ДК 016:2010-                                          37.00. 1                                                                                                                  ( Послуги у сфері водовідведення - за кодом CPV за ДК 021:2015-90400000-1 ) (централізоване водовідведення)</t>
  </si>
  <si>
    <t>37.00.1</t>
  </si>
  <si>
    <t>56300,00 (п'ятдесят шість тисяч триста гривень 00 коп.)</t>
  </si>
  <si>
    <t xml:space="preserve"> Обробляння та розподіляння води трубопроводами -за кодом ДК 016:2010-36.00.2                                                                                                                                      (Розподіл питної води  - за кодом CPV за ДК 021:2015-65111000-4  (централізоване водопостачання)</t>
  </si>
  <si>
    <t>36,00,2</t>
  </si>
  <si>
    <t>68800,00 (шістдесят вісім  тисяч  вісімсот гривень 00 коп.)</t>
  </si>
  <si>
    <t>Разом по КЕКВ 2272</t>
  </si>
  <si>
    <t>125100,00 (сто двадцять  п'ять  тисяч сто гривень 00 коп.)</t>
  </si>
  <si>
    <t>Послуги освітянські, інші, н. в. і. у. -за кодом ДК 016:2010- 85.59.1                                                                                                          ( Послуги у сфері освіти для дорослих та інші освітні послуги -за кодом CPV за ДК 021:2015-80400000-8)</t>
  </si>
  <si>
    <t>85.59.1</t>
  </si>
  <si>
    <t>4354,36 (чотири  тисячі триста п'ятдесят чотири гривні 36 коп.)</t>
  </si>
  <si>
    <t>Послуги освітянські, інші, н. в. і. у. -за кодом ДК 016:2010- 85.59.1                                                                                                          ( Послуги різних навчальних закладів -за кодом CPV за ДК 021:2015-80410000-1)</t>
  </si>
  <si>
    <t>390,76 (триста дев'яносто гривень 76 коп.)</t>
  </si>
  <si>
    <t>Послуги освітянські, інші, н. в. і. у. -за кодом ДК 016:2010- 85.59.1                                                                                                          (  Послуги з навчання персоналу -за кодом CPV за ДК 021:2015-80511000-9)</t>
  </si>
  <si>
    <t>900,00 (дев'ятсот гривень 00 коп.)</t>
  </si>
  <si>
    <t>Послуги у сфері охорони здоров'я, інші за кодом ДК 016:2010 - 86.90.1                                                                                   ( Послуги у сфері охорони здоров’я різні-за кодом CPV за ДК 021:2015 - 85140000-2)</t>
  </si>
  <si>
    <t>254,88 (двісті п'ятдесят чотири гривні 88 коп.)</t>
  </si>
  <si>
    <t>Разом по КЕКВ 2282</t>
  </si>
  <si>
    <t>5900,00 (п'ять тисяч дев'ятсот гривень 00 коп.)</t>
  </si>
  <si>
    <t xml:space="preserve"> Устатковання радіологічне, електромедичне та електротерапевтичне устатковання за кодом ДК 016:2010-26.60.1                                                                     ( Медичне обладнання - за кодом CPV за ДК 021:2015- 33100000-1  )</t>
  </si>
  <si>
    <t>2450,00 (дві тисячі чотириста п'ятдесят гривень 00 коп.)</t>
  </si>
  <si>
    <t xml:space="preserve"> Інструменти та прилади вимірювальні, контрольні та випробовувальні, інші за кодом ДК 016:2010-26.51.6                                                                                                               ( Монокулярні та/або бінокулярні світлові біологічні мікроскопи - за кодом CPV за ДК 021:2015- 38516000-5   )</t>
  </si>
  <si>
    <t>27650,00 (двадцять сім тисяч шістсот п'ятдесят гривень 00 коп.)</t>
  </si>
  <si>
    <t xml:space="preserve"> Устатковання для зважування та вимірювання промислове, побутове та іншої призначеності за кодом ДК 016:2010- 28.29.3                                                                                                            ( Електронні ваги та приладдя до них - за кодом CPV за ДК 021:2015-  38311000-8  )</t>
  </si>
  <si>
    <t>8000,00 (вісім тисяч гривень 00 коп.)</t>
  </si>
  <si>
    <t>6500,00 (шість тисяч п'ятсот гривень 00 коп.)</t>
  </si>
  <si>
    <t>Разом по КЕКВ 3110</t>
  </si>
  <si>
    <t>44600,00 (сорок чотири тисячі шістсот гривень 00 коп.)</t>
  </si>
  <si>
    <t>в т.ч.44600,00 спеціальний фонд</t>
  </si>
  <si>
    <t>НАУКА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</si>
  <si>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   - за кодом ДК 016:2010 - 20.13.1                                                                               (Радіоактивні ізотопи за кодом CPV за ДК 021:2015-09344000-2)</t>
  </si>
  <si>
    <t>4728,00 (чотири тисячі сімсот двадцять вісім  гривень 00 коп)</t>
  </si>
  <si>
    <t xml:space="preserve"> -272,00 загальний фонд згідно затвердженого кошторису на 2016 рік</t>
  </si>
  <si>
    <t>10272,00 (десять тисяч  двісті сімдесят дві гривні 00 коп)</t>
  </si>
  <si>
    <t xml:space="preserve"> +272,00 загальний фонд згідно затвердженого кошторису на 2016 рік</t>
  </si>
  <si>
    <t>Книжки друковані- за кодом ДК 016:2010 - 58.11.1                                              (Брошури-за кодом CPV за ДК 021:2015-22150000-6)</t>
  </si>
  <si>
    <t>30000,00 (тридцять тисяч гривень 00 коп.)</t>
  </si>
  <si>
    <t>в т.ч.30000,00 загальний фонд</t>
  </si>
  <si>
    <t xml:space="preserve"> Послуги щодо друкування, інші-  за кодом ДК 016:2010 - 18.12.1                                                                             (Послуги з друку та розповсюджування надрукованої продукції за кодом CPV за ДК 021:2015 -79824000-6)</t>
  </si>
  <si>
    <t>Послуги інформаційні, інші, н. в. і. у.</t>
  </si>
  <si>
    <t>Послуги інформаційні, інші, н. в. і. у.-  за кодом ДК 016:2010 - 63.99.1                                                                     ( Друкарські та супутні послуги за кодом CPV за ДК 021:2015 -79800000-2)</t>
  </si>
  <si>
    <t>1325,00(одна тисяча триста двадцять п'ять гривень 00 коп)</t>
  </si>
  <si>
    <t>Затверджений рішенням комітету з конкурсних торгів від 04.07.2016 р. №23</t>
  </si>
  <si>
    <t>Голова комітету з конкурсних торгів</t>
  </si>
  <si>
    <t xml:space="preserve">                                                            О.М.Носова</t>
  </si>
  <si>
    <t xml:space="preserve">                                                  (прізвище, ініціали)     </t>
  </si>
  <si>
    <t>Апаратура та приладдя для діагностики і рентгенодіагностики</t>
  </si>
  <si>
    <t>Мітли та щітки-  за кодом ДК 016:2010 - 32.91.1                                                                              (Мітли, щітки та інше господарське приладдя-за кодом CPV за ДК 021:2015 -39224000-8 )(Мітли)</t>
  </si>
  <si>
    <t>Лампи та світильники, інші-за кодом ДК 016:2010-27.40.3                                                                                ( Розрядні лампи- за кодом CPV за ДК 021:2015-31514000-2) (Лампа люм.OSRAM хол.біла L 18/640)</t>
  </si>
  <si>
    <t>РАЗОМ</t>
  </si>
  <si>
    <t>Мітли та щітки-  за кодом ДК 016:2010 - 32.91.1                                                                              (Мітли, щітки та інше господарське приладдя-за кодом CPV за ДК 021:2015 -39224000-8 )(Пензлик флейц, пензлик круглий)</t>
  </si>
  <si>
    <t>Фарби та лаки, інші, та пов'язана з ними продукція; барвники художні та друкарські чорнила   - за кодом ДК 016:2010 - 20.30.2                                                                         ( Фарби, лаки, друкарська фарба та мастики- за кодом CPV за ДК 021:2015-44800000-8) (Фарба,шпаклівка,емаль,мастика)</t>
  </si>
  <si>
    <t>Конкретна назва предмету закупівлі</t>
  </si>
  <si>
    <t>ДК 016:2010</t>
  </si>
  <si>
    <t>ДК 021:2015</t>
  </si>
  <si>
    <t xml:space="preserve"> Розмір бюджетного призначення за кошторисом або очікувана вартість предмета закупівлі, грн.</t>
  </si>
  <si>
    <t>Затверджений рішенням комітету з конкурсних торгів від 25.08.2016 р. №2</t>
  </si>
  <si>
    <t xml:space="preserve">Паливо рідинне та газ; оливи мастильні за кодом ДК 016:2010-19.20.2   </t>
  </si>
  <si>
    <t>Бензин- за кодом CPV за ДК 021:2015-09132000-3</t>
  </si>
  <si>
    <t>Бензин А-92 з присадкою JET</t>
  </si>
  <si>
    <t>Серпень 2016</t>
  </si>
  <si>
    <t>Без застосування  електронної системи</t>
  </si>
  <si>
    <t xml:space="preserve">Вироби канцелярські, паперові-за кодом ДК 016:2010-17.23.1                                                                      </t>
  </si>
  <si>
    <t>Бланки- за кодом CPV за ДК 021:2015-22820000-4</t>
  </si>
  <si>
    <t xml:space="preserve">Кислоти монокарбонові жирні технічні; кислоти карбонові та їхні солі   - за кодом ДК 016:2010 - 20.14.3                                                                               </t>
  </si>
  <si>
    <t>Промислові монокарбонові жирні кислоти за кодом CPV за ДК 021:2015-24323000-4</t>
  </si>
  <si>
    <t>Бланки</t>
  </si>
  <si>
    <t>Оцтова крижана кислота</t>
  </si>
  <si>
    <t xml:space="preserve"> Державна установа "Інститут охорони здоров'я  дітей та підлітків Національної академії медичних наук України"              </t>
  </si>
  <si>
    <t>Папір і картон оброблені-за кодом ДК 016:2010-17.12.7</t>
  </si>
  <si>
    <t>Дрібне канцелярське приладдя- за кодом CPV за ДК 021:2015-30197000-6</t>
  </si>
  <si>
    <t>Фоточутливі, термочутливі та термографічні папір та картон- за кодом CPV за ДК 021:2015-30197000-7</t>
  </si>
  <si>
    <t>Хімічні реактиви</t>
  </si>
  <si>
    <t xml:space="preserve">Вуглеводні та їхні похідні   - за кодом ДК 016:2010 - 20.14.1                                                                           </t>
  </si>
  <si>
    <t>Вуглеводні за кодом CPV за ДК 021:2015-24321000-0</t>
  </si>
  <si>
    <t>Скляний посуд лабораторного призначення - за кодом CPV за ДК 021:2015 - 33793000-5</t>
  </si>
  <si>
    <t xml:space="preserve">Скло технічне та інше скло - за кодом ДК 016:2010 - 23.19.2                                                                                          </t>
  </si>
  <si>
    <t>Лабораторний посуд</t>
  </si>
  <si>
    <t xml:space="preserve">Екстракти фарбувальні та дубильні; таніни та їхні похідні; речовини фарбувальні, н. в. і. у.  - за кодом ДК 016:2010-20.12.2                                                    </t>
  </si>
  <si>
    <t>Фарбувальні речовини - за кодом CPV за ДК 021:2015 - 24224000-0</t>
  </si>
  <si>
    <t xml:space="preserve">Спирти, феноли, фенолоспирти та їхні галогено-, сульфо-, нітрони нітрозопохідні; спирти жирні технічні- за кодом ДК 016:2010-20.14.2                                                                                                                               </t>
  </si>
  <si>
    <t>Діагностичні засоби -за кодом CPV за ДК 021:2015 -33694000-1</t>
  </si>
  <si>
    <t xml:space="preserve">Ефіри, пероксиди, епоксиди, ацеталі та напівацеталі органічні; сполуки органічні, інші- за кодом ДК 016:2010-20.14.6                                                                                                                                     </t>
  </si>
  <si>
    <t xml:space="preserve">Добрива азотні, мінеральні чи хімічні - за кодом ДК 016:2010- 20.15.3                                                                                      </t>
  </si>
  <si>
    <t>Азотні добрива-  -за кодом CPV за ДК 021:2015  -24410000-1</t>
  </si>
  <si>
    <t xml:space="preserve"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сульфонаміди- за кодом ДК 016:2010 - 21.10.3 </t>
  </si>
  <si>
    <t xml:space="preserve">Препарати фармацевтичні, інші- за кодом ДК 016:2010  -21.20.2                                                                                                                                                                     </t>
  </si>
  <si>
    <t>Апаратура та приладдя для діагностики і рентгенодіагностики -33124000-5</t>
  </si>
  <si>
    <t xml:space="preserve">Залози та інші органи, екстракти цих речовин та інші речовини людського чи тваринного походження, н. в. і. у. -  за кодом ДК 016:2010 - 21.10.6                                                                                                                                                                </t>
  </si>
  <si>
    <t xml:space="preserve"> Реактиви та контрастні речовини -за кодом CPV за ДК 021:2015 - 33696000-5</t>
  </si>
  <si>
    <t xml:space="preserve">Мітли та щітки-  за кодом ДК 016:2010 - 32.91.1                                                                           </t>
  </si>
  <si>
    <t>Мітли, щітки та інше господарське приладдя-за кодом CPV за ДК 021:2015 -39224000-8</t>
  </si>
  <si>
    <t xml:space="preserve"> Вироби з дроту, ланцюги та пружини-  за кодом ДК 016:2010 - 25.93.1                                                                             </t>
  </si>
  <si>
    <t xml:space="preserve"> Електронне приладдя - за кодом CPV за ДК 021:2015 -31711000-3</t>
  </si>
  <si>
    <t xml:space="preserve">Проводи та кабелі електронні й електричні, інші-за кодом ДК 016:2010-27.32.1                                                                           </t>
  </si>
  <si>
    <t xml:space="preserve">Електричні проводи- за кодом CPV за ДК 021:2015- 44318000-2  </t>
  </si>
  <si>
    <t xml:space="preserve">Пристрої електромонтажні-за кодом ДК 016:2010-27.33.1                                                                            </t>
  </si>
  <si>
    <t>З’єднувачі та контактні елементи- за кодом CPV за ДК 021:2015- 31224000-2</t>
  </si>
  <si>
    <t xml:space="preserve">Крани, вентилі, клапани та подібні вироби до труб, котлів, резервуарів, цистерн і подібних виробів-за кодом ДК 016:2010-28.14.1                                                                     </t>
  </si>
  <si>
    <t xml:space="preserve">Арматура трубопровідна: крани, вентилі, клапани та подібні пристрої- за кодом CPV за ДК 021:2015- 42130000-9 </t>
  </si>
  <si>
    <t xml:space="preserve"> Вироби кріпильні та ґвинтонарізні-  за кодом ДК 016:2010 - 25.94.1                                                                             </t>
  </si>
  <si>
    <t>Кріпильні деталі з наріззю - за кодом CPV за ДК 021:2015- 44531000-1</t>
  </si>
  <si>
    <t xml:space="preserve"> Замки та завіси за кодом ДК 016:2010 - 25.72.1                                                                             </t>
  </si>
  <si>
    <t>Навісні та врізні замки різні - за кодом CPV за ДК 021:2015 - 44521000-8</t>
  </si>
  <si>
    <t>Напівфабрикати з міді та мідних сплавів за кодом ДК 016:2010 - 24.44.2</t>
  </si>
  <si>
    <t xml:space="preserve"> Мідні кріпильні деталі - за кодом CPV за ДК 021:2015 - 44533000-5</t>
  </si>
  <si>
    <t>Вироби абразивні-за кодом ДК 016:2010-23.91.1</t>
  </si>
  <si>
    <t xml:space="preserve"> Жорнові камені, точильні камені та круги- за кодом CPV за ДК 021:2015- 14811000-9</t>
  </si>
  <si>
    <t xml:space="preserve">Вироби пластмасові для будівництва; лінолеум і покриви на підлогу, тверді, не пластикові - за кодом ДК 016:2010 -22.23.1                                                                </t>
  </si>
  <si>
    <t xml:space="preserve"> Кріпильні деталі- за кодом CPV за ДК 021:2015-  44530000-4</t>
  </si>
  <si>
    <t>Апаратура електрична для комутації чи захисту електричних кіл, на напругу не більше ніж 1000 В - за кодом ДК 016:2010 -27.12.2</t>
  </si>
  <si>
    <t xml:space="preserve"> Розподільні пристрої- за кодом CPV за ДК 021:2015-  31214000-9</t>
  </si>
  <si>
    <t xml:space="preserve">Клеї-  за кодом ДК 016:2010 - 20.52.1                                                                                            </t>
  </si>
  <si>
    <t xml:space="preserve"> Клеї - за кодом CPV за ДК 021:2015 -24910000-6</t>
  </si>
  <si>
    <t>Фітинги до труб чи трубок зі сталі, не литі-  за кодом ДК 016:2010 - 24.20.4</t>
  </si>
  <si>
    <t xml:space="preserve"> Трубна арматура різна - за кодом CPV за ДК 021:2015 -44167000-8</t>
  </si>
  <si>
    <t xml:space="preserve">Фарби та лаки, інші, та пов'язана з ними продукція; барвники художні та друкарські чорнила   - за кодом ДК 016:2010 - 20.30.2                                                                                                             </t>
  </si>
  <si>
    <t>Будівельні матеріали -за кодом CPV за ДК 021:2015 -44111000-1</t>
  </si>
  <si>
    <t xml:space="preserve"> Труби, трубки, шланги та фітинги до них пластмасові   - за кодом ДК 016:2010 - 22.21.2</t>
  </si>
  <si>
    <t xml:space="preserve"> Труби та арматура -за кодом CPV за ДК 021:2015 -44163000-0</t>
  </si>
  <si>
    <t xml:space="preserve"> Пружини - за кодом CPV за ДК 021:2015 -44550000-0</t>
  </si>
  <si>
    <t xml:space="preserve">  Частини двигунів-  за кодом ДК 016:2010 - 28.11.4</t>
  </si>
  <si>
    <t xml:space="preserve"> Частини двигунів - за кодом CPV за ДК 021:2015 -34312000-7</t>
  </si>
  <si>
    <t xml:space="preserve"> Мастильні оливи та мастильні матеріали- за кодом CPV за ДК 021:2015-09211000-1</t>
  </si>
  <si>
    <t>Медична техніка (чіп сенсор II для глюкози BIOSEN C_line та S_line)</t>
  </si>
  <si>
    <t>Затверджений рішенням комітету з конкурсних торгів від 31.08.2016 р. №3</t>
  </si>
  <si>
    <t>Папір 190мм*50м (1739), папір для енцефалографа СНФ -60-420 SLD</t>
  </si>
  <si>
    <t>Термопапір YPP 110 S (110мм*20м)</t>
  </si>
  <si>
    <t>Звіт про укладений договір</t>
  </si>
  <si>
    <t>Хімічні реактиви медичного призначення (Холестерин СпЛ 100)</t>
  </si>
  <si>
    <t>Хімічні реактиви медичного призначення</t>
  </si>
  <si>
    <r>
      <t> </t>
    </r>
    <r>
      <rPr>
        <sz val="12"/>
        <color rgb="FF333333"/>
        <rFont val="Times New Roman"/>
        <family val="1"/>
        <charset val="204"/>
      </rPr>
      <t>Хімічні реактиви медичного призначення (Сечовина-кін. СпЛ 100)</t>
    </r>
  </si>
  <si>
    <t>Хімічні реактиви медичного призначення (Креатинін-кін. СпЛ 200)</t>
  </si>
  <si>
    <t>Флейтц №50</t>
  </si>
  <si>
    <t>Електроди АНО-21 d-3</t>
  </si>
  <si>
    <t>ПВС 3*1,5 (ДСТУ)</t>
  </si>
  <si>
    <t>Короб електричний 25*25</t>
  </si>
  <si>
    <t>Трійник латун.1/2 в-в-в</t>
  </si>
  <si>
    <t>Саморіз універсальний Ж 4/40</t>
  </si>
  <si>
    <t>Секрет "Аріко" 6 кл. (урізний)</t>
  </si>
  <si>
    <t>Американка 1/2 пряма біл.</t>
  </si>
  <si>
    <t>Шар кран "Solomon" 1/2 г-ш черв.607</t>
  </si>
  <si>
    <t>Круг-NovoAbrasive 125/1,2 (сталь); Круг SHTERN 125 (сегмент)</t>
  </si>
  <si>
    <t>Дюбель 6/35, дюбель 12/80</t>
  </si>
  <si>
    <t>Цанга 16*1/2 н; цанга 16*1/2 в</t>
  </si>
  <si>
    <t>Сілікон акфикс.універс.325гр;Грунт ГФ-021 2,8 кг червоно-корич.</t>
  </si>
  <si>
    <t>Труба металопластик. NENCO 16; кріплення металопластика д.16</t>
  </si>
  <si>
    <t>Зворотня пружина</t>
  </si>
  <si>
    <r>
      <t> </t>
    </r>
    <r>
      <rPr>
        <sz val="12"/>
        <color rgb="FF333333"/>
        <rFont val="Times New Roman"/>
        <family val="1"/>
        <charset val="204"/>
      </rPr>
      <t>Комплект поршень насоса</t>
    </r>
  </si>
  <si>
    <t>Мастило Stіhl для 2- тактних двигунів</t>
  </si>
  <si>
    <t>Світильники</t>
  </si>
  <si>
    <t>ДК 016:2010: 27.40.3 — Лампи та світильники, інші</t>
  </si>
  <si>
    <t>ДК 021:2015: 31521000-4 — Світильники</t>
  </si>
  <si>
    <t>Бойлер</t>
  </si>
  <si>
    <t>ДК 016:2010: 27.51.2 — Прилади електричні побутові, інші, н.в.і.у.</t>
  </si>
  <si>
    <t> Водонагрівачі та центральні системи опалення; санітарна техніка</t>
  </si>
  <si>
    <t>ДК 016:2010: 26.51.5 — Прилади для контролювання інших фізичних характеристик</t>
  </si>
  <si>
    <t>ДК 021:2015: 35125000-6 — Системи стеження</t>
  </si>
  <si>
    <t>Технічне обслуговування ліфтів</t>
  </si>
  <si>
    <t>ДК 016:2010: 33.12.1 — Ремонтування та технічне обслуговування машин загальної призначеності</t>
  </si>
  <si>
    <t>ДК 021:2015: 50750000-7 — Послуги з технічного обслуговування ліфтів</t>
  </si>
  <si>
    <t>серпень, 2016</t>
  </si>
  <si>
    <t>Хімічні реактиви медичного призначення (Диски з антибіотиком)</t>
  </si>
  <si>
    <t>ДК 016:2010: 21.20.2 — Препарати фармацевтичні, інші</t>
  </si>
  <si>
    <t>ДК 021:2015: 33694000-1 — Діагностичні засоби</t>
  </si>
  <si>
    <t>ДК 016:2010: 20.14.4 — Сполуки органічні з азотною функційною групою</t>
  </si>
  <si>
    <t>ДК 021:2015: 24324000-1 — Органічні сполуки з азотною групою</t>
  </si>
  <si>
    <t>ДК 016:2010: 28.29.3 — Устатковання для зважування та вимірювання промислове, побутове та іншої призначеності</t>
  </si>
  <si>
    <t>ДК 021:2015: 38311000-8 — Електронні ваги та приладдя до них</t>
  </si>
  <si>
    <t>Телекомунікаційні послуги</t>
  </si>
  <si>
    <t>ДК 016:2010: 61.10.1 — Послуги щодо передавання даних і повідомлень</t>
  </si>
  <si>
    <t>ДК 021:2015: 64210000-1 — Послуги телефонного зв’язку та передачі даних</t>
  </si>
  <si>
    <t>Хімічні реактиви медичного призначення (ТТГ, Т4, ЛГ, ФСГ, пролактин,тестостерон, естрадіол)</t>
  </si>
  <si>
    <r>
      <t> </t>
    </r>
    <r>
      <rPr>
        <sz val="12"/>
        <color rgb="FF333333"/>
        <rFont val="Times New Roman"/>
        <family val="1"/>
        <charset val="204"/>
      </rPr>
      <t>Вага медична ТВ1-150 з ростоміром</t>
    </r>
  </si>
  <si>
    <t>Хімічні реактиви медичного призначення (СРБ - латекс-тест,АСЛ-О - латекс-тест )</t>
  </si>
  <si>
    <t>ДК 016:2010: 20.14.5 — Сполуки сіркоорганічні та інші органічно-неорганічні сполуки; гетероциклічні сполуки, н.в.і.у.</t>
  </si>
  <si>
    <t>Хімічні реактиви медичного призначення(Ig А, М, G – ІФА )</t>
  </si>
  <si>
    <t>ДК 021:2015: 33141000-0 — Медичні матеріали нехімічні та гематологічні одноразового застосування</t>
  </si>
  <si>
    <t>Хімічні реактиви медичного призначення (тіогліколеве середовище, цитратний агар Сіммонса,магнієве середовище)</t>
  </si>
  <si>
    <t>ДК 016:2010: 20.59.5 — Продукти хімічні різноманітні</t>
  </si>
  <si>
    <t>ДК 021:2015: 33698000-9 — Вироби для клінічних досліджень / випробувань</t>
  </si>
  <si>
    <t>Хімічні реактиви медичного призначення (диски з антибіотиком)</t>
  </si>
  <si>
    <r>
      <t> </t>
    </r>
    <r>
      <rPr>
        <sz val="12"/>
        <color rgb="FF333333"/>
        <rFont val="Times New Roman"/>
        <family val="1"/>
        <charset val="204"/>
      </rPr>
      <t>Автомат 1/16; коробка під автомат 1-2 з кришкою</t>
    </r>
  </si>
  <si>
    <r>
      <t> </t>
    </r>
    <r>
      <rPr>
        <sz val="12"/>
        <color rgb="FF333333"/>
        <rFont val="Times New Roman"/>
        <family val="1"/>
        <charset val="204"/>
      </rPr>
      <t>Клей для плитки (25 кг); затирка СЕ33 2кг біла супер</t>
    </r>
  </si>
  <si>
    <t>Затверджений рішенням комітету з конкурсних торгів від 08.09.2016 р. №4</t>
  </si>
  <si>
    <t>Канцелярські товари (Папір Рарероn A4)</t>
  </si>
  <si>
    <t>ДК 016:2010: 17.23.1 — Вироби канцелярські, паперові</t>
  </si>
  <si>
    <t>ДК 021:2015: 30197000-6 — Дрібне канцелярське приладдя</t>
  </si>
  <si>
    <t>вересень, 2016</t>
  </si>
  <si>
    <t>Канцелярські товари (файл А4)</t>
  </si>
  <si>
    <t>ДК 021:2015: 22850000-3 — Швидкозшивачі та супутнє приладдя</t>
  </si>
  <si>
    <t>Канцелярські товари(ручки, коректор з пензликом,клей-олівець)</t>
  </si>
  <si>
    <t>ДК 021:2015: 30192000-1 — Офісне приладдя</t>
  </si>
  <si>
    <t>Господарчі товари (шланг гнучкий ігла "Неssa" 40см, 50 см-М10-1/2</t>
  </si>
  <si>
    <t>ДК 016:2010: 22.19.3 — Труби, трубки та шланги з вулканізованої ґуми (крім виготовлених з твердої ґуми)</t>
  </si>
  <si>
    <t>ДК 021:2015: 44165000-4 — Шланги, стояки та рукави</t>
  </si>
  <si>
    <t>Господарчі товари(смес.мойка DOMINOX-300 chrome, смес.мойка DOMINOX-271 chrome, шар.кран "Solomon"1/2г-ш черв.607, сифон-мойка "АНИ"/А0510/</t>
  </si>
  <si>
    <t>ДК 016:2010: 28.14.1 — Крани, вентилі, клапани та подібні вироби до труб, котлів, резервуарів, цистерн і подібних виробів</t>
  </si>
  <si>
    <t>ДК 021:2015: 42130000-9 — Арматура трубопровідна: крани, вентилі, клапани та подібні пристрої</t>
  </si>
  <si>
    <t>Господарчі товари (труба металопласт.,кріплення металопласт.д16)</t>
  </si>
  <si>
    <t>ДК 016:2010: 22.21.2 — Труби, трубки, шланги та фітинги до них пластмасові</t>
  </si>
  <si>
    <t>ДК 021:2015: 44163000-0 — Труби та арматура</t>
  </si>
  <si>
    <t>Господарчі товари (Трійник 16*16, перехідник латун 3/4 н*1/2н)</t>
  </si>
  <si>
    <t>Господарчі товари (цанга 16*1/2н, цанга 16*1/2в)</t>
  </si>
  <si>
    <t>ДК 016:2010: 24.20.4 — Фітинги до труб чи трубок зі сталі, не литі</t>
  </si>
  <si>
    <t>ДК 021:2015: 44167000-8 — Трубна арматура різна</t>
  </si>
  <si>
    <t>Господарчі товари (Дюбель 6/35)</t>
  </si>
  <si>
    <t>ДК 016:2010: 22.23.1 — Вироби пластмасові для будівництва; лінолеум і покриви на підлогу, тверді, не пластикові</t>
  </si>
  <si>
    <t>ДК 021:2015: 44530000-4 — Кріпильні деталі</t>
  </si>
  <si>
    <t> Господарчі товари ( набір арматури в бочок)</t>
  </si>
  <si>
    <t>ДК 021:2015: 44411000-4 — Санітарна техніка</t>
  </si>
  <si>
    <t>Господарчі товари (Кранбукса)</t>
  </si>
  <si>
    <t>Господарчі товари (Стержні різьбові ,гайки, болти)</t>
  </si>
  <si>
    <t>ДК 016:2010: 25.94.1 — Вироби кріпильні та ґвинтонарізні</t>
  </si>
  <si>
    <t>ДК 021:2015: 44531000-1 — Кріпильні деталі з наріззю</t>
  </si>
  <si>
    <t>Господарчі товари (цемент)</t>
  </si>
  <si>
    <t>ДК 016:2010: 23.51.1 — Цемент</t>
  </si>
  <si>
    <t>ДК 021:2015: 44111000-1 — Будівельні матеріали</t>
  </si>
  <si>
    <t>Господарчі товари(подовжувач з фільтром)</t>
  </si>
  <si>
    <t>ДК 016:2010: 27.32.1 — Проводи та кабелі електронні й електричні, інші</t>
  </si>
  <si>
    <t>ДК 021:2015: 31224000-2 — З’єднувачі та контактні елементи</t>
  </si>
  <si>
    <t> Вироби канцелярські (бланки)</t>
  </si>
  <si>
    <t>ДК 021:2015: 22820000-4 — Бланки</t>
  </si>
  <si>
    <t>Елементи радіоактивні (CORTISOL RIA KIT, Insulin(e) IRMA KIT</t>
  </si>
  <si>
    <t>ДК 016:2010: 20.13.13 — Елементи радіоактивні, інші, ізотопи та їхні сполуки; сплави, дисперсії, вироби керамічні та суміші, з умістом таких елементів, ізотопів або сполук</t>
  </si>
  <si>
    <t>ДК 021:2015: 09344000-2 — Радіоактивні ізотопи</t>
  </si>
  <si>
    <t> Прання постільної білизни, рушників, халатів</t>
  </si>
  <si>
    <t>ДК 016:2010: 96.01.1 — Послуги щодо прання та хімічного чищення текстильних і хутряних виробів</t>
  </si>
  <si>
    <t>ДК 021:2015: 98310000-9 — Послуги з прання і сухого чищення</t>
  </si>
  <si>
    <t>Демонтаж блока живлення, оптичного блоку; демонтаж плати керування та процесора приладу для виконання поточних ремонтних робіт;Діагностування та усунення несправностей: - пошук несправних елементів; - ремонт плати управління, юстировка; - перевірка, регулювання електричних та технічних параметрів вузлів приладу;Монтаж блока живлення, оптичного блока, монтаж плати керування та процесора після виконання поточних ремонтних робіт</t>
  </si>
  <si>
    <t>ДК 016:2010: 33.13.1 — Ремонтування та технічне обслуговування електронного й оптичного устатковання</t>
  </si>
  <si>
    <t>ДК 021:2015: 50400000-9 — Послуги з ремонту і технічного обслуговування медичного і високоточного обладнання</t>
  </si>
  <si>
    <t>Послуги по технічному обслуговуванню та поточному ремонту офісної техніки, відновленню і регенерації картриджів</t>
  </si>
  <si>
    <t>ДК 016:2010: 95.11.1 — Ремонтування комп’ютерів і периферійного устатковання</t>
  </si>
  <si>
    <t>ДК 021:2015: 50300000-8 — Ремонт, технічне обслуговування персональних комп’ютерів, офісного, телекомунікаційного та аудіовізуального обладнання, а також супутні послуги</t>
  </si>
  <si>
    <t>Повне регулювання та перевірка технічних характеристик приладу після поточного ремонту; Метрологічна повірка приладу</t>
  </si>
  <si>
    <t>ДК 016:2010: 71.20.1 — Послуги щодо технічного випробовування й аналізування</t>
  </si>
  <si>
    <t>ДК 021:2015: 71600000-4 — Послуги з технічних випробувань, аналізу та консультування</t>
  </si>
  <si>
    <t> Комплектуючі частини до комп'ютера ( процесор, модуль пам'яті, мат.плата)</t>
  </si>
  <si>
    <t>ДК 016:2010: 26.20.1 — Машини обчислювальні, частини та приладдя до них</t>
  </si>
  <si>
    <t>ДК 021:2015: 30237000-9 — Частини, аксесуари та приладдя до комп’ютерів</t>
  </si>
  <si>
    <t>Мікропіпетки -2шт</t>
  </si>
  <si>
    <t>ДК 016:2010: 22.29.2 — Вироби пластмасові інші, н.в.і.у.</t>
  </si>
  <si>
    <t>ДК 021:2015: 19520000-7 — Пластмасові вироби</t>
  </si>
  <si>
    <t>Канцелярські товари (Папір для принтера)</t>
  </si>
  <si>
    <t>Клапан типу "Батерфляй",фланець</t>
  </si>
  <si>
    <t>Повірка медичного обладнання</t>
  </si>
  <si>
    <t>ДК 021:2015: 71632000-7 — Послуги з технічних випробувань</t>
  </si>
  <si>
    <t>Корегування КЕКВ</t>
  </si>
  <si>
    <t>Корегування очікуваної вартості предмета закупівлі</t>
  </si>
  <si>
    <t>серпень 2016</t>
  </si>
  <si>
    <t>Світильники -12 шт</t>
  </si>
  <si>
    <t>Електроводонагрівач -        2 шт</t>
  </si>
  <si>
    <t>вересень 2016</t>
  </si>
  <si>
    <t>Організаційно-технічні послуги з організації та підтримання доступу до ЄДЕБО</t>
  </si>
  <si>
    <t>ДК 016:2010: 63.11.1 — 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</si>
  <si>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ДК 021:2015: 72253000-3 — Послуги з підтримки користувачів та з технічної підтримки</t>
  </si>
  <si>
    <t>Медикаменти (розчин глюкози 5% 200 мл)</t>
  </si>
  <si>
    <t>ДК 016:2010: 21.10.4 — Цукри хімічно чисті, н.в.і.у.; ефіри та естери цукрів і їхні солі, н.в.і.у.</t>
  </si>
  <si>
    <t>ДК 021:2015: 33621000-9 — Лікарські засоби для лікування захворювань крові й органів кровотворення</t>
  </si>
  <si>
    <t>Медикаменти (Кислота амінокапронова р-н 5% 100 мл)</t>
  </si>
  <si>
    <t>ДК 016:2010: 21.10.2 — Лізин, глутамінова кислота та їхні солі; солі та гідроксиди амонію четвертинні; фосфоаміноліпіди; аміди та їхні похідні й солі з цих речовин</t>
  </si>
  <si>
    <t>ДК 016:2010: 21.20.1 — Ліки</t>
  </si>
  <si>
    <r>
      <t> </t>
    </r>
    <r>
      <rPr>
        <sz val="12"/>
        <color rgb="FF333333"/>
        <rFont val="Times New Roman"/>
        <family val="1"/>
        <charset val="204"/>
      </rPr>
      <t>Медикаменти (Реосорбілакт р-н 200 мл, натрію хлорид р-н 0,9% 200 мл, декасан р-н 0,02% 100 мл)</t>
    </r>
  </si>
  <si>
    <t>Послуги з організації навчання з питань охорони праці</t>
  </si>
  <si>
    <t>ДК 016:2010: 85.59.1 — Послуги освітянські, інші, н.в.і.у.</t>
  </si>
  <si>
    <t>ДК 021:2015: 80500000-9 — Навчальні послуги</t>
  </si>
  <si>
    <t>Хімічні реактиви (Глюкоза/лактат гемолізуючий розчин+20мкл безперервні пласмасові капіляри Nа-гепарин, 1000*1мл в2,0 мл сейф-лок мікропробірках +1000 капілярів; Глюкоза/лактат реагенти системи, пляшка 500 мл)</t>
  </si>
  <si>
    <t>Навчання з експлуатації устаткування</t>
  </si>
  <si>
    <t>ДК 021:2015: 80400000-8 — Послуги у сфері освіти для дорослих та інші освітні послуги</t>
  </si>
  <si>
    <t>Бланки (прибутковий касовий ордер, особова картка, карточка-справка, табель)</t>
  </si>
  <si>
    <t>ДК 021:2015: 30199000-0 — Паперове канцелярське приладдя та інші паперові вироби</t>
  </si>
  <si>
    <t>Канцелярські товари ( Книга канц.)</t>
  </si>
  <si>
    <t>ДК 021:2015: 22813000-2 — Бухгалтерські книги</t>
  </si>
  <si>
    <t>Канцелярські товари ( коригуюча рідина, клей, маркер)</t>
  </si>
  <si>
    <t>Хімічні реактиви (Глюкоза / лактат мультистандартні розчини, готові до використання, 100 закритих мікропробірок, 12 ммоль/л)</t>
  </si>
  <si>
    <t>Хімічні реактиви (Diagnostic slips of type UrineRS, model H-10 Смужки діагностичні типу Urine RS, модель H-10, HT-UR-9000)</t>
  </si>
  <si>
    <t>ДК 021:2015: 33696000-5 — Реактиви та контрастні речовини</t>
  </si>
  <si>
    <r>
      <t> </t>
    </r>
    <r>
      <rPr>
        <sz val="12"/>
        <color rgb="FF333333"/>
        <rFont val="Times New Roman"/>
        <family val="1"/>
        <charset val="204"/>
      </rPr>
      <t>Послуги з технічних випробувань, аналізу та консультування: електричні випробування та вимірювання опору ізоляції силової та освітлювальної електропроводки, заземлюючих пристроїв та опору петлі фаза-нуль електрообладнання</t>
    </r>
  </si>
  <si>
    <t xml:space="preserve"> Прання постільної білизни, рушників, халатів</t>
  </si>
  <si>
    <t> Господарчі товари (Круг відрізний по металу 125 х1. 2 х 22.2 EXPERT АП; Круг зачисний по металу 125x6,0x22,2 мм Power Flex)</t>
  </si>
  <si>
    <t>Господарчі товари (Перфоратор Зенит ЗПП-1000/2 Профі, ЮООВт., SDS+, 850об/хв, 5,5Дж, 3900уд/хв;</t>
  </si>
  <si>
    <t>ДК 016:2010: 23.91.1 — Вироби абразивні</t>
  </si>
  <si>
    <t>ДК 021:2015: 14810000-2 — Абразивні вироби</t>
  </si>
  <si>
    <t>ДК 016:2010: 28.24.1 — Інструмент електромеханічний для роботи однією рукою; інструмент ручний портативний із силовим урухомлювачем/приводом, інший</t>
  </si>
  <si>
    <t>ДК 021:2015: 42652000-1 — Електромеханічні ручні інструменти</t>
  </si>
  <si>
    <t>ДК 016:2010: 20.14.1 — Вуглеводні та їхні похідні</t>
  </si>
  <si>
    <t>ДК 021:2015: 24321000-0 — Вуглеводні</t>
  </si>
  <si>
    <t>ДК 021:2015: 39224000-8 — Мітли, щітки та інше господарське приладдя</t>
  </si>
  <si>
    <t> Господарчі товари(Губки кухонні York 24+4 шт. в дарунок)</t>
  </si>
  <si>
    <t>Господарчі товари (Щітка д/підлоги Baby з рукояткою, 120см,Щітка для рук МАКСІ, Віник 3-х пучковий)</t>
  </si>
  <si>
    <t>ДК 016:2010: 32.91.1 — Мітли та щітки</t>
  </si>
  <si>
    <t>Господарчі товари(Відро пластик.10л )</t>
  </si>
  <si>
    <t>ДК 016:2010: 22.22.1 — Тара пластмасова</t>
  </si>
  <si>
    <t>Господарчі товари(Совок складний з довг. ручкою Apex)</t>
  </si>
  <si>
    <t>ДК 016:2010: 25.73.1 — Інструменти ручні для використання в сільському господарстві, садівництві чи лісовому господарстві</t>
  </si>
  <si>
    <t>Господарчі товари(ЧВ-Рукавички госп. VORTEX М з подовж, манжетами,Рукавички трикотажні «3DMaster-80TB»,p.10)</t>
  </si>
  <si>
    <t>ДК 016:2010: 22.19.6 — Предмети одягу та аксесуари одягу з вулканізованої ґуми (крім виготовлених з твердої ґуми)</t>
  </si>
  <si>
    <t>ДК 021:2015: 18141000-9 — Робочі рукавиці</t>
  </si>
  <si>
    <t>Господарчі товари(Синтет.мийн.зас порошкопод. МАКС Практик, Яблуко 350г,Засіб для миття посуду Fairy Апельсин та Лимонник 500мл, Крем д/чищення Містер Мускул Лимон 515г, Засіб д/туал Туалетне каченя 5 в 1 Морський 900мл, Чист, засіб Gala OV Квітковий букет 500 г)</t>
  </si>
  <si>
    <t>ДК 016:2010: 20.41.3 — Мило, засоби мийні та засоби для чищення</t>
  </si>
  <si>
    <t>ДК 021:2015: 39831000-6 — Засоби для прання і миття</t>
  </si>
  <si>
    <t>Господарчі товари(Мило господарче 72% Традиційне 180г)</t>
  </si>
  <si>
    <t>ДК 021:2015: 33711000-7 — Парфуми та засоби гігієни</t>
  </si>
  <si>
    <t>Господарчі товари(ЧВ-Пакет для сміття ФБ Стандарт 35л ЗО шт із зав'язками)</t>
  </si>
  <si>
    <t>ДК 016:2010: 13.92.2 — Вироби текстильні готові, інші</t>
  </si>
  <si>
    <t>ДК 021:2015: 19640000-4 — Поліетиленові мішки та пакети для сміття</t>
  </si>
  <si>
    <t>Господарчі товари(Гілкоріз 700мм, зубчата передача, різ 27мм)</t>
  </si>
  <si>
    <t>ДК 021:2015: 44511000-5 — Ручні знаряддя</t>
  </si>
  <si>
    <t>Господарчі товари(Бітумакс ЕКП 4,0 сланец (10 кв.м.))</t>
  </si>
  <si>
    <t>ДК 021:2015: 44112000-8 — Будівельні конструкції різні</t>
  </si>
  <si>
    <t>Господарчі товари(Мастика для приклеювання та ремонту BauGut18Kr)</t>
  </si>
  <si>
    <t>ДК 016:2010: 20.30.2 — Фарби та лаки, інші, та пов’язана з ними продукція; барвники художні та друкарські чорнила</t>
  </si>
  <si>
    <t>ДК 021:2015: 44800000-8 — Фарби, лаки, друкарська фарба та мастики</t>
  </si>
  <si>
    <t>Господарчі товари(Крейда 5кг)</t>
  </si>
  <si>
    <t>ДК 016:2010: 08.11.3 — Крейда та некальцинований доломіт</t>
  </si>
  <si>
    <t>ДК 021:2015: 44920000-5 — Вапняк, гіпс і крейда</t>
  </si>
  <si>
    <t> Господарчі товари(Папір туалетний Кохавинка антисептичний 8 шт.)</t>
  </si>
  <si>
    <t>ДК 016:2010: 17.12.2 — Серветки паперові туалетні, серветки для обличчя, рушники, скатертини-серветки, целюлозна вата й полотна з целюлозних волокон</t>
  </si>
  <si>
    <t>ДК 021:2015: 33761000-2 — Туалетний папір</t>
  </si>
  <si>
    <t>Господарчі товари(Гіпс 10кг)</t>
  </si>
  <si>
    <t>ДК 016:2010: 08.11.2 — Вапняк і гіпс</t>
  </si>
  <si>
    <t>ДК 021:2015: 44921000-2 — Вапняк і гіпс</t>
  </si>
  <si>
    <t>Господарчі товари(Шуруп універсальний, жовтий цинк3,0х35(уп-50шт.) Саморіз для гіпсокартону по дереву, фосфатованийЗ,5х55(уп- 100шт.) Саморіз для гіпсокартону по дереву, фосфатованийЗ,5х45(уп- 100шт.) Саморіз для гіпсокартону по дереву, фосфатованийЗ,5х35(уп- 50шт.))</t>
  </si>
  <si>
    <t>Господарчі товари(Клей.стрічка вікн 48 66)</t>
  </si>
  <si>
    <t>ДК 021:2015: 44173000-3 — Стрічки</t>
  </si>
  <si>
    <t>Канцелярські товари(ЧорнилоParker Z10C (син.)</t>
  </si>
  <si>
    <t>ДК 021:2015: 22600000-6 — Чорнила</t>
  </si>
  <si>
    <t>Комутатор TP-Link TL-SF1005D</t>
  </si>
  <si>
    <t>ДК 021:2015: 32422000-7 — Мережеві компоненти</t>
  </si>
  <si>
    <t>Знаки поштової оплати(конверти)</t>
  </si>
  <si>
    <t>Знаки поштової оплати(Марки)</t>
  </si>
  <si>
    <t>ДК 016:2010: 58.19.1 — Послуги щодо видавання друкованої продукції, інші</t>
  </si>
  <si>
    <t>ДК 021:2015: 22400000-4 — Марки, чекові бланки, банкноти, сертифікати акцій, рекламні матеріали, каталоги та посібники</t>
  </si>
  <si>
    <t>Папір перфорований ЛПФ 210 55г, 1700 арк.</t>
  </si>
  <si>
    <t>Хімічні реактиви медичного призначення(ABX MINIDIL LMG 20Л, ізотонічний розчин 'ABX MINIDIL LMG 20L; ABX MINILYSE LMG 1Л, лізуючий розчин 'ABX MINILYSE LMG 1L; Система для забору крові з пробою та капіляром 200 мкл K3 EDTA червона; ABX CLEANER 1Л, ферментативний розчин 'ABX CLEANER 1L; Пара 12 Екстенд N; Пара 12 Екстенд H )</t>
  </si>
  <si>
    <t>Медична техніка (Чіп сенсор II для глюкози BIOSEN С_line та S_line )</t>
  </si>
  <si>
    <t>Хімічні реактиви медичного призначення (Глюкоза / лактат гемолізуючий розчин + 20 мкл безперервні пластмасові капіляри Na-гепарин, 1000 х l мл в 2.0 мл сейф-лок мікропробірках + 1000 капілярів,ReadyCon Глюкоза патологічна / лактат випробувальні реагенти, готові до використання, 25 сейф-лок мікропробірок,Глюкоза / лактат реагенти системи, пляшка 500 мл)</t>
  </si>
  <si>
    <t>ДК 021:2015: 33692000-7 — Медичні розчини</t>
  </si>
  <si>
    <t>Сантехнічні вироби(Шар кран "Solomon" з америк.1/2</t>
  </si>
  <si>
    <t>Медикаменти(АСКОРУТИН таб.№50)</t>
  </si>
  <si>
    <t>ДК 016:2010: 21.10.5 — Провітаміни, вітаміни й гормони; глікозиди та алкалоїди рослинного походження та їхні похідні; антибіотики</t>
  </si>
  <si>
    <t>ДК 021:2015: 33622000-6 — Лікарські засоби для лікування захворювань серцево-судинної системи</t>
  </si>
  <si>
    <t>жовтень 2016</t>
  </si>
  <si>
    <t>33610000-9   Лікарські засоби для лікування захворювань шлунково-кишкового тракту та розладів обміну речовин</t>
  </si>
  <si>
    <t>33622000-6   Лікарські засоби для лікування захворювань серцево-судинної системи</t>
  </si>
  <si>
    <t>33621000-9   Лікарські засоби для лікування захворювань крові й органів кровотворення</t>
  </si>
  <si>
    <t>33631000-2   Лікарські засоби для лікування дерматологічних захворювань</t>
  </si>
  <si>
    <t>33661000-1   Лікарські засоби для лікування хвороб нервової системи</t>
  </si>
  <si>
    <t>33632000-9   Лікарські засоби для лікування захворювань опорно-рухового апарату</t>
  </si>
  <si>
    <t>33662000-8   Лікарські засоби для лікування захворювань органів чуття</t>
  </si>
  <si>
    <t>33690000-3   Лікарські засоби різні</t>
  </si>
  <si>
    <t>33615000-4   Протидіабетичні лікарські засоби</t>
  </si>
  <si>
    <t>33642000-2   Гормональні препарати системної дії, крім статевих гормонів</t>
  </si>
  <si>
    <t>33651000-8   Загальні протиінфекційні засоби для системного застосування та вакцини</t>
  </si>
  <si>
    <t>33670000-7   Лікарські засоби для лікування хвороб дихальної системи</t>
  </si>
  <si>
    <t>33612000-3   Лікарські засоби для лікування функціональних розладів шлунково-кишкового тракту</t>
  </si>
  <si>
    <t>33691000-0   Протипаразитні засоби, інсектициди та репеленти</t>
  </si>
  <si>
    <t>50112000-3   Послуги з ремонту і технічного обслуговування автомобілів</t>
  </si>
  <si>
    <t>22820000-4   Бланки</t>
  </si>
  <si>
    <t>42130000-9   Арматура трубопровідна: крани, вентилі, клапани та подібні пристрої</t>
  </si>
  <si>
    <t>44165000-4   Шланги, стояки та рукави</t>
  </si>
  <si>
    <t>44831000-4   Мастики, шпаклівки, замазки</t>
  </si>
  <si>
    <t>44810000-1   Фарби</t>
  </si>
  <si>
    <t>21.20.1   Ліки</t>
  </si>
  <si>
    <t>21.10.6   Залози та інші органи, екстракти цих речовин та інші речовини людського чи тваринного походження, н.в.і.у.</t>
  </si>
  <si>
    <t>21.10.5   Провітаміни, вітаміни й гормони; глікозиди та алкалоїди рослинного походження та їхні похідні; антибіотики</t>
  </si>
  <si>
    <t>21.10.3   Лактони, н.в.і.у.,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</t>
  </si>
  <si>
    <t>21.10.2   Лізин, глутамінова кислота та їхні солі; солі та гідроксиди амонію четвертинні; фосфоаміноліпіди; аміди та їхні похідні й солі з цих речовин</t>
  </si>
  <si>
    <t>45.20.2   Технічне обслуговування та ремонтування інших автотранспортних засобів</t>
  </si>
  <si>
    <t>17.23.1   Вироби канцелярські, паперові</t>
  </si>
  <si>
    <t>28.14.1   Крани, вентилі, клапани та подібні вироби до труб, котлів, резервуарів, цистерн і подібних виробів</t>
  </si>
  <si>
    <t>22.19.3   Труби, трубки та шланги з вулканізованої ґуми (крім виготовлених з твердої ґуми)</t>
  </si>
  <si>
    <t>20.30.2   Фарби та лаки, інші, та пов’язана з ними продукція; барвники художні та друкарські чорнила</t>
  </si>
  <si>
    <t>Медикаменти (МОТОРИКС табл. в/плівк. обол. 10 мг блістер № 30, ПАНКРЕАТИН 8000 таб. №50, ФЛАМІН-ЗДОРОВ'Я табл. 50 мг блістер № 30, ВИС-НОЛ капс. N 30, АЛОЕ ЕКСТРАКТ РІДКИЙ-ДАРНИЦЯ екстракт рідк. д/ін. 1 мл амп. № 10, АСПАРКАМ табл. блістер № 50, ЕЛЕУТЕРОКОКУ ЕКСТР-Т РІДКИЙ 50 мл. фл.)</t>
  </si>
  <si>
    <t>Медикаменти(СЕРМІОН таб.п/об.5мг.№30, АНАПРИЛІН 0,01 №50, БЕРЛІПРИЛ-10 таб.10мг.№30)</t>
  </si>
  <si>
    <t>Медикаменти(ЭТАМЗИЛАТ 12,5 % амп. 2 мл N 10, МАГНІЮ СУЛЬФАТ р-н д/ін. 25 % амп. 5 мл№ 10, ГЕПАРИН-ІНДАР. Розчин для ін`єкцій, 5000 МО/мл по 5 мл (25000 МО) у флаконах № 5 у пачці)</t>
  </si>
  <si>
    <t>Медикаменти(РЕКУТАН 100мл., БРИЛІАНТОВИЙ ЗЕЛЕНИЙ р-н спирт.1% 20мл., ЙОДУ РОЗ-Н СПИРТОВИЙ д/зовнішн. Застосув. 5% фл.20 мл., ПЕРЕКИСУ ВОДНЮ РОЗЧИН 3% р-н 40 мл. фл., ХЛОРГЕКСИДИН р-н.0,05% 100мл., ХЛОРОФІЛІПТ р-н спирт. 10 мг/мл фл. 100 мл)</t>
  </si>
  <si>
    <t>Медикаменти(ВАЛЕРІАНИ н-ка 25 мл. ВАЛЕРІАН, И ЕКСТРАКТ табл. в/о 20 мг № 50, ГІДАЗЕПАМ IC табл. 0,02 г блістер № 20, КОРВАЛОЛ-Н крап. д/пероральн. застосув.25 мл. фл., ЕГЛОНІЛ таб.200мг.№12, РИСПОЛЕПТ р-н д/пер1мл/мг.30 мл. СЕДАВІТ 100мл., СЕДАВІТ табл. № 20, ФЛОРИСЕД-З капс.№20, СОНАПАКС 25 мг, таблетки, вкриті оболонкою, по 25 мг № 60, ДЕПАКІН ХРОНО таб.300мг.№100 , ДЕПАКІН ХРОНО таб.500мг.№30, СТИМУЛОТОН таб.п/о 50мг.№30, ФЛУОКСЕТИН таб.0,02г.№20)</t>
  </si>
  <si>
    <t>Медикаменти(ДИКЛАК амп.75мг/3мл №5, МЕФЕНАМІНОВА К-ТА таб. 500мг.№20, ХОНДРОІТИН-ФІТОФАРМ гель 5% 40гр., РЕМІСИД гель 1% 30гр.)</t>
  </si>
  <si>
    <t>Медикаменти(АМІАК р-н 10% 40мл., ДІУРЕМІД таб.0,25 г №20, СУЛЬФАЦИЛ НАТРІЙ очні краплі 30%10мл.)</t>
  </si>
  <si>
    <t>Медикаменти(ВОДА д/ін.амп.2 мл.№10)</t>
  </si>
  <si>
    <t>Медикаменти(АКТОВЕГІН  амп.200 мг.5мл.№5, АТОКСИЛ пак.№20, ПЛАЗМОЛ р-н д/ін.амп.1мл.№10)</t>
  </si>
  <si>
    <t>Медикаменти(Актрапід НМ Пенфіл р-н д/ін.100 МО/мл 3мл №5, Протафан НМ Пенфіл р-н д/ін.100 МО/мл 3мл  №5)</t>
  </si>
  <si>
    <t>Медикаменти(L-ТИРОКСИН 100 БЕРЛІН-ХЕМІ табл. 100 мкг № 50, Окситоцин р-н д/ін. 5 МО амп.1мл. №10, ДИПРОСПАН сусп. д/ін. амп. 1 мл № 5, МЕТІПРЕД таб.4мг. №30)</t>
  </si>
  <si>
    <t>Медикаменти(АМОКСИЛ-К 625 табл. в/плівк. обол. блістер  № 14, КЛАРИТРОМІЦИН КМП 500мг №14, АЗИМЕД таб 500мг №3, АЗИЦИН таб. 500мг №3, ЦЕФТРИАКСОН порошок для розчину для ін'єкцій по 1,0  г № 10, ЦЕФТАЗИДИМ  пор. д/ р-ну для/ ін по 1,0  г № 10)</t>
  </si>
  <si>
    <t>Медикаменти(АСКОРБІНОВА КИСЛОТА-ЗДОРОВ'Я р-н д/ін. 5 % амп. 2 мл № 10, АСКОРБІНОВА КИСЛОТА др. № 160, ВІТАМІН E капс. м'які 0,1 г блістер № 50 (50х1), НЕОВІТАМ табл. п/плівк. оболонкою блістер № 30, ПІРИДОКСИН-ДАРНИЦЯ (ВІТАМІН В6-ДАРНИЦЯ) р-н д/ін. 50 мг/мл амп. 1 мл № 10, ТІАМІНУ ХЛОРИД-ДАРНИЦЯ (ВІТАМІН В1-ДАРНИЦЯ) р-н д/ін. 5 % амп. 1 мл № 10, КАЛЬЦІЮ ГЛЮКОНАТ 10 % амп. 5 мл N 10, СІОФОР 500 табл. в/о 500 мг № 60)</t>
  </si>
  <si>
    <t>Медикаменти(ФОЛІЄВА КИСЛОТА табл.0,005  № 50)</t>
  </si>
  <si>
    <t>Медикаменти(СЕПТЕФРИЛ-ДАРНИЦЯ табл. 0,2 мг контурн. чарунк. уп. № 10)</t>
  </si>
  <si>
    <t>Медикаменти(ВІНПОЦЕТИН-ДАРНИЦЯ табл. 5 мг контурн. чарунк. уп. № 30 ПРОЗЕРИН 0,05% 1 мл №10)</t>
  </si>
  <si>
    <t>Медикаменти(АМІНАЗИН таб.25 мг. №20 БІФРЕН капс. 0,25 г. №20)</t>
  </si>
  <si>
    <t>Медикаменти(ДАРСИЛ таб.22,5 №100, ДРОТАВЕРІН амп.2%.2мл.№5, РЕНАЛЬГАН амп.5мл №5, ОМЕПРАЗОЛ капс. 0,02 № 30)</t>
  </si>
  <si>
    <t>Медикаменти(АТФ-лонг таб.0,01г.№40)</t>
  </si>
  <si>
    <t>Медикаменти(ПІРАНТЕЛтаб. 250 мг. №30)</t>
  </si>
  <si>
    <t>Медикаменти(ЛОРАТАДИН таб. 0,01 г. №20,ДИМЕДРОЛ амп.1% 1мл.№10, ФАРМАЗОЛІН 0,1% 10мл.в п/е, НАФТИЗИН  0,1% 10мл.в п/е)</t>
  </si>
  <si>
    <t>Медикаменти(ІНГАЛІПТ спрей 30мл*)</t>
  </si>
  <si>
    <t>Медикаменти(АМІНАЛОН-КВ капс.0,25г №50,КОГНУМ таб.250мг.№50, ПІРАЦЕТАМ-Д табл.п/о 0.2 N60 (10х6), ГЛІЦИСЕД-КМП табл. 0.1г N50 (10х5), ГАЛОПЕРІДОЛ таб.1,5мг.№50, ПАРАЦЕТАМОЛ капс.500мг.№10, НОВОКАІН-Д р-н д/ін.2% амп.2мл.№10, НОВОКАІН-Д р-н д/ін.0,5% амп.2мл.№10)</t>
  </si>
  <si>
    <t>Медикаменти(ЕСПА-ЛІПОН амп.600мг.24 мл N5,ТІОТРИАЗОЛІН амп.2,5% 2мл.№10, ЕНЕРЛІВ капс. 300мг N30(10х3) МЕТОКЛОПРАМІД-Д амп.0,5% 2мл.№10)</t>
  </si>
  <si>
    <t>Медикаменти(ІБУПРОФЕН  табл. 200мг N50, НІМІД гран.пакети 2 г. №30)</t>
  </si>
  <si>
    <t>Медикаменти(МЕТИОНІН табл.п/о 0.25 N50 (10х5)*)</t>
  </si>
  <si>
    <t>Послуги по технічному обслуговуванню автомобіля</t>
  </si>
  <si>
    <t>Вироби канцелярські(Бланки)</t>
  </si>
  <si>
    <t>Сантехнічні вироби(Смес.мойка DOMINOX - 273 chrome)</t>
  </si>
  <si>
    <t>Сантехнічні вироби(Шланг гнучкий голка "HESSA" 50 cm - М10-1/2)</t>
  </si>
  <si>
    <t>Господарчі товари(Шпаклівка Knauf НР-старт 30кг, Шпаклівка Knauf НР-фініш 25кг, Грунт фронт 1кг 1:4 гл.проникн.)</t>
  </si>
  <si>
    <t>Господарчі товари(Фарба 1,4 кг Multi Facade інтер'єрна Super Star)</t>
  </si>
  <si>
    <t>Медикаменти(Цефтазидим пор.д/р-ну для /ін по 1,0г №1)</t>
  </si>
  <si>
    <t>Медикаменти(Аміназин таб.25мг №20)</t>
  </si>
  <si>
    <t>Хімічні реактиви медичного призначення(Ig А, М, G – ІФА)</t>
  </si>
  <si>
    <t>Хімічні реактиви медичного призначення(Сечова кислота СпЛ 100)</t>
  </si>
  <si>
    <t>Хімічні реактиви медичного призначення(Лужна фосфатаза-кін.СпЛ (ЛФ-кін.СпЛ) 80,Аланінамінотрансфераза-кін.СпЛ (АЛТ-кін.СпЛ) 100,Аспартатамінотрансфераза-кін.СпЛ (АСТ-кін СпЛ) 100 )</t>
  </si>
  <si>
    <t>Хімічні реактиви медичного призначення(АТ-ТПО - IФА, РФ - латекс-тест)</t>
  </si>
  <si>
    <t>Хімічні реактиви медичного призначення(Холестерин СпЛ 100,Тригліцериди СпЛ 100)</t>
  </si>
  <si>
    <t>Хімічні реактиви медичного призначення(ТТГ - ІФА,Т4 вільн - ІФА, Пролактин - ІФА,Тестостерон - ІФА,Естрадіол - ІФА)</t>
  </si>
  <si>
    <t>Спецодяг,засоби особистого захисту(Мило господарське 72%</t>
  </si>
  <si>
    <t>Спецодяг,засоби особистого захисту(Маска зварювальна)</t>
  </si>
  <si>
    <t>Спецодяг,засоби особистого захисту(Краги спілкові +х/б)</t>
  </si>
  <si>
    <t>Спецодяг,засоби особистого захисту(Костюм зварювальника посилений)</t>
  </si>
  <si>
    <t>Фотографічна продукція медичного призначення (плівки,проявник,фіксаж)</t>
  </si>
  <si>
    <t>Послуги з технічного обслуговування автомобіля</t>
  </si>
  <si>
    <t>Інформаційно-консультативні послуги по роботі з комп'ютерною програмою "М.E.DOC"</t>
  </si>
  <si>
    <t>Послуги з проведення робіт по повірці засобів вимірювальної техніки (Термометри скляні технічні вик. 6 від -30°С до +30°С відповідно до ГОСТ 8.279-78; ТС-7-М1)</t>
  </si>
  <si>
    <t>Господарський товар (Водогагрівач Blue Ocean sev 050/3)</t>
  </si>
  <si>
    <t>Господарський товар (Розетка VIKO VERA з заземленням IP 20)</t>
  </si>
  <si>
    <t>Канцелярські товари(Папір 80г/м2 А-4,500арк. 120% біл.Lux)</t>
  </si>
  <si>
    <t>ДК 016:2010:27.33.1: Пристрої електромонтажні</t>
  </si>
  <si>
    <t>ДК 016:2010:27.51.2: Прилади електричні побутові, інші, н.в.і.у.</t>
  </si>
  <si>
    <t>ДК 016:2010:71.20.1: Послуги щодо технічного випробовування й аналізування</t>
  </si>
  <si>
    <t>ДК 016:2010:62.02.2: Послуги щодо консультування стосовно систем і програмного забезпечення</t>
  </si>
  <si>
    <t>ДК 016:2010:45.20.2: Технічне обслуговування та ремонтування інших автотранспортних засобів</t>
  </si>
  <si>
    <t>ДК 016:2010:14.12.3: Одяг робочий, інший</t>
  </si>
  <si>
    <t>ДК 016:2010:14.19.2: Одяг дитячий, одяг інший та аксесуари одягу інші, з текстильного полотна, крім трикотажних</t>
  </si>
  <si>
    <t>ДК 016:2010:14.19.4: Капелюхи та наголовні убори</t>
  </si>
  <si>
    <t>ДК 016:2010:20.41.3: Мило, засоби мийні та засоби для чищення</t>
  </si>
  <si>
    <t>ДК 016:2010:20.14.4: Сполуки органічні з азотною функційною групою</t>
  </si>
  <si>
    <t>ДК 016:2010:20.14.2: Спирти, феноли, фенолоспирти та їхні галогено-, сульфо-, нітро-чи нітрозопохідні; спирти жирні технічні</t>
  </si>
  <si>
    <t>ДК 016:2010:20.14.5: Сполуки сіркоорганічні та інші органічно-неорганічні сполуки; гетероциклічні сполуки, н.в.і.у.</t>
  </si>
  <si>
    <t>ДК 016:2010:20.14.6: Ефіри, пероксиди, епоксиди, ацеталі та напівацеталі органічні; сполуки органічні, інші</t>
  </si>
  <si>
    <t>ДК 016:2010:21.20.2: Препарати фармацевтичні, інші</t>
  </si>
  <si>
    <t>ДК 016:2010:21.10.5: Провітаміни, вітаміни й гормони; глікозиди та алкалоїди рослинного походження та їхні похідні; антибіотики</t>
  </si>
  <si>
    <t>ДК 016:2010:21.20.1: Ліки</t>
  </si>
  <si>
    <t>ДК 021:2015:33621000-9: Лікарські засоби для лікування захворювань крові й органів кровотворення</t>
  </si>
  <si>
    <t>ДК 021:2015:31224000-2: З’єднувачі та контактні елементи</t>
  </si>
  <si>
    <t>ДК 021:2015:33651000-8: Загальні протиінфекційні засоби для системного застосування та вакцини</t>
  </si>
  <si>
    <t>ДК 021:2015:33661000-1: Лікарські засоби для лікування хвороб нервової системи</t>
  </si>
  <si>
    <t>ДК 021:2015:24324000-1: Органічні сполуки з азотною групою</t>
  </si>
  <si>
    <t>ДК 021:2015:33694000-1: Діагностичні засоби</t>
  </si>
  <si>
    <t>ДК 021:2015:33711000-7: Парфуми та засоби гігієни</t>
  </si>
  <si>
    <t>ДК 021:2015:18444000-3: Захисні головні убори</t>
  </si>
  <si>
    <t>ДК 021:2015:18424000-7: Рукавички</t>
  </si>
  <si>
    <t>ДК 021:2015:18410000-6: Спеціальний одяг</t>
  </si>
  <si>
    <t>ДК 021:2015:24931000-9: Фотопластини ти фотоплівки</t>
  </si>
  <si>
    <t>ДК 021:2015:50112000-3: Послуги з ремонту і технічного обслуговування автомобілів</t>
  </si>
  <si>
    <t>ДК 021:2015:72220000-3: Консультаційні послуги з питань систем та з технічних питань</t>
  </si>
  <si>
    <t>ДК 021:2015:71632000-7: Послуги з технічних випробувань</t>
  </si>
  <si>
    <t>ДК 021:2015:39715000-7: Водонагрівачі та центральні системи опалення; санітарна техніка</t>
  </si>
  <si>
    <t>ДК 016:2010: 20.59.1: Фотопластинки й фотоплівки, плівка для миттєвого друку; фотохімікати та фотографічні незмішані речовини</t>
  </si>
  <si>
    <t>Затверджений рішенням комітету з конкурсних торгів від 23.09.2016 р. №10</t>
  </si>
  <si>
    <t>Затверджений рішенням комітету з конкурсних торгів від 29.09.2016 р. №12</t>
  </si>
  <si>
    <t>Затверджений рішенням комітету з конкурсних торгів від 13.09.2016 р. №8</t>
  </si>
  <si>
    <t>Затверджений рішенням комітету з конкурсних торгів від 03.10.2016 р. №13</t>
  </si>
  <si>
    <t>Затверджений рішенням комітету з конкурсних торгів від 10.10.2016 р. №15</t>
  </si>
  <si>
    <t>ДК 016:2010: 20.13.5   Солі інших металів</t>
  </si>
  <si>
    <t>ДК 016:2010: 21.10.6   Залози та інші органи, екстракти цих речовин та інші речовини людського чи тваринного походження, н.в.і.у.</t>
  </si>
  <si>
    <t>ДК 016:2010: 20.59.5   Продукти хімічні різноманітні</t>
  </si>
  <si>
    <t>ДК 016:2010: 17.23.1   Вироби канцелярські, паперові</t>
  </si>
  <si>
    <t>ДК 016:2010: 20.14.6   Ефіри, пероксиди, епоксиди, ацеталі та напівацеталі органічні; сполуки органічні, інші</t>
  </si>
  <si>
    <t>ДК 016:2010: 27.40.3   Лампи та світильники, інші</t>
  </si>
  <si>
    <t>ДК 016:2010: 28.29.2   Устатковання для миття, наповнювання, пакування та обгортання пляшок або іншої тари; вогнегасники, пульверизатори, машини пароструминні та піскоструминні; прокладки</t>
  </si>
  <si>
    <t>ДК 016:2010: 21.20.2   Препарати фармацевтичні, інші</t>
  </si>
  <si>
    <t>ДК 016:2010: 27.40.1   Лампи розжарювання та газорозрядні електричні; лампи дугові</t>
  </si>
  <si>
    <t>ДК 021:2015: 33694000-1   Діагностичні засоби</t>
  </si>
  <si>
    <t>ДК 021:2015:33696000-5   Реактиви та контрастні речовини</t>
  </si>
  <si>
    <t>ДК 021:2015: 33698000-9   Вироби для клінічних досліджень / випробувань</t>
  </si>
  <si>
    <t>ДК 021:2015: 24956000-0   Пептони та білкові речовини</t>
  </si>
  <si>
    <t>ДК 021:2015: 22820000-4   Бланки</t>
  </si>
  <si>
    <t>ДК 021:2015: 31518000-0   Сигнальні лампи</t>
  </si>
  <si>
    <t>ДК 021:2015: 35111000-5   Протипожежне обладнання</t>
  </si>
  <si>
    <t>ДК 021:2015: 33141000-0   Медичні матеріали нехімічні та гематологічні одноразового застосування</t>
  </si>
  <si>
    <t>ДК 021:2015: 30192000-1   Офісне приладдя</t>
  </si>
  <si>
    <t>ДК 021:2015: 22810000-1   Паперові чи картонні реєстраційні журнали</t>
  </si>
  <si>
    <t>ДК 021:2015: 31514000-2   Розрядні лампи</t>
  </si>
  <si>
    <t>ДК 021:2015: 30197000-6   Дрібне канцелярське приладдя</t>
  </si>
  <si>
    <t>ДК 021:2015: 22850000-3   Швидкозшивачі та супутнє приладдя</t>
  </si>
  <si>
    <t>ДК 021:2015: 31519000-7   Лампи розжарення та неонові лампи</t>
  </si>
  <si>
    <t>Затверджений рішенням комітету з конкурсних торгів від 17.10.2016 р. №17</t>
  </si>
  <si>
    <t>Господарський товар (Лампа 36В 40Вт Е27)</t>
  </si>
  <si>
    <t>Господарський товар (Лампи люмінісцентні 18/54 G13)</t>
  </si>
  <si>
    <t>Вироби канцелярські (Файл прозорий )</t>
  </si>
  <si>
    <t>Вироби канцелярські (Стрічка клейка середня 18*30)</t>
  </si>
  <si>
    <t>Вироби канцелярські паперові (Книги канцелярські)</t>
  </si>
  <si>
    <t>Вироби канцелярські (Папір для принтера А4 НР, клей -олівець)</t>
  </si>
  <si>
    <t>Вогнегасник ВВК-1,4</t>
  </si>
  <si>
    <t>Лампи аварійного освітлення</t>
  </si>
  <si>
    <t>Вироби канцелярські паперові (Бланки)</t>
  </si>
  <si>
    <t>Хімічні реактиви медичного призначення (набір сіроглікоїди)</t>
  </si>
  <si>
    <t>ДК 021:2015: 33694000-1  Діагностичні засоби</t>
  </si>
  <si>
    <t>Хімічні реактиви медичного призначення(Набір альбуміну,набір загальний білок)</t>
  </si>
  <si>
    <t>Хімічні реактиви медичного призначення (Вісмут-сульфіт агар, Агар ЕНДО,Ентерококагар, Поживний агар, Елективний сольовий агар,Агар Кліглера)</t>
  </si>
  <si>
    <t>Хімічні реактиви медичного призначення (Гліколізований гемоглобін (HbA 1c) (Хьюман), к.№10658</t>
  </si>
  <si>
    <t> Вироби медичного призначення (Маска лицьова 3-х шарова з гумовими петлями н/ст.(50шт в уп)</t>
  </si>
  <si>
    <t> Вироби канцелярські паперові(Журнал прийому хворих ф.001/0)</t>
  </si>
  <si>
    <t>Хімічні реактиви медичного призначення (Набір фосфор UV)</t>
  </si>
  <si>
    <t>ДК 016:2010:20.59.6  Желатин і його похідні, зокрема молочні альбуміни</t>
  </si>
  <si>
    <t>Медикаменти ( кальцію хлорид 10% 10мл №10)</t>
  </si>
  <si>
    <t>ДК 016:2010:21.10.3: Лактони, н.в.і.у.,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</t>
  </si>
  <si>
    <t>Послуги з проведення робіт по повірці засобів вимірювальної техніки(Дозатори піпеткові (за один канал) усіх типів; Дозатори піпеткові варіабельного об'єму (за один канал)</t>
  </si>
  <si>
    <t>ДК 016:2010: 71.20.1   Послуги щодо технічного випробовування й аналізування</t>
  </si>
  <si>
    <t>ДК 021:2015: 71632000-7   Послуги з технічних випробувань</t>
  </si>
  <si>
    <t>хімічні реактиви медичного призначення(ДГЕА-сульфат–БЕСТ  дегідроепіандростерон-сульфат,17-ОН-прогестерон–БЕСТ  17-гідроксипрогестерон)</t>
  </si>
  <si>
    <t>ДК 016:2010: 21.10.5   Провітаміни, вітаміни й гормони; глікозиди та алкалоїди рослинного походження та їхні похідні; антибіотики</t>
  </si>
  <si>
    <t>ДК 021:2015: 33642000-2   Гормональні препарати системної дії, крім статевих гормонів</t>
  </si>
  <si>
    <t>Хімічні реактиви(Кислота хлорна,бут.1,5 кг)</t>
  </si>
  <si>
    <t>ДК 016:2010: 20.13.2   Елементи хімічні, н.в.і.у.; кислоти та сполуки неорганічні</t>
  </si>
  <si>
    <t>ДК 021:2015: 24311000-7   Хімічні елементи, неорганічні кислоти та сполуки</t>
  </si>
  <si>
    <t>Послуги з технічного обслуговування ліфтів</t>
  </si>
  <si>
    <t>ДК 016:2010: 33.12.1   Ремонтування та технічне обслуговування машин загальної призначеності</t>
  </si>
  <si>
    <t>ДК 021:2015: 50750000-7   Послуги з технічного обслуговування ліфтів</t>
  </si>
  <si>
    <t>Послуги з вивезення побутових відходів</t>
  </si>
  <si>
    <t>ДК 016:2010: 38.11.2   Збирання безпечних відходів, непридатних для вторинного використовування</t>
  </si>
  <si>
    <t>ДК 021:2015: 90512000-9   Послуги з перевезення сміття</t>
  </si>
  <si>
    <t>Будівельні товари(пісок митий)</t>
  </si>
  <si>
    <t>ДК 016:2010: 08.12.1   Гравій та пісок</t>
  </si>
  <si>
    <t>ДК 021:2015: 14211000-3   Пісок</t>
  </si>
  <si>
    <t>Сантехнічні вироби (Серія "FARMA" Focus.11.2(S)40 мм змішувач кухня</t>
  </si>
  <si>
    <t>ДК 016:2010: 28.14.1   Крани, вентилі, клапани та подібні вироби до труб, котлів, резервуарів, цистерн і подібних виробів</t>
  </si>
  <si>
    <t>ДК 021:2015: 42130000-9   Арматура трубопровідна: крани, вентилі, клапани та подібні пристрої</t>
  </si>
  <si>
    <t>Вироби канцелярські паперові (Бухгалтерські книги)</t>
  </si>
  <si>
    <t>Затверджений рішенням комітету з конкурсних торгів від 31.10.2016 р. №21</t>
  </si>
  <si>
    <t>Затверджений рішенням комітету з конкурсних торгів від 24.10.2016 р. №20</t>
  </si>
  <si>
    <t>Вироби канцелярські паперові(папір для принтера А4)</t>
  </si>
  <si>
    <t>ДК 016:2010: 17.23.1 Вироби канцелярські, паперові</t>
  </si>
  <si>
    <t>Постачання теплової енергії</t>
  </si>
  <si>
    <t>ДК 016:2010: 35.30.1   Пара та гаряча вода; постачання пари та гарячої води</t>
  </si>
  <si>
    <t>ДК 021:2015: 09320000-8   Пара, гаряча вода та пов’язана продукція</t>
  </si>
  <si>
    <t>Переговорна процедура закупівлі</t>
  </si>
  <si>
    <t>ДК 016:2010: 25.72.1   Замки та завіси</t>
  </si>
  <si>
    <t>ДК 021:2015: 44521000-8   Навісні та врізні замки різні</t>
  </si>
  <si>
    <t>Затверджений рішенням комітету з конкурсних торгів від 04.11.2016 р. №22</t>
  </si>
  <si>
    <t>листопад 2016</t>
  </si>
  <si>
    <t>Зміни до річного плану</t>
  </si>
  <si>
    <t>Господарчі товари (Замки врізний,навісний)</t>
  </si>
  <si>
    <t>Елементи радіоактивні; набори реактивів для проведення радіоімунної діагностики РІА-набори(CORTISOL RIA KIT)</t>
  </si>
  <si>
    <t>ДК 016:2010: 20.13.13   Елементи радіоактивні, інші, ізотопи та їхні сполуки; сплави, дисперсії, вироби керамічні та суміші, з умістом таких елементів, ізотопів або сполук</t>
  </si>
  <si>
    <t>ДК 021:2015: 09344000-2   Радіоактивні ізотопи</t>
  </si>
  <si>
    <t>Вироби канцелярські паперові (бухгалтерські книги)</t>
  </si>
  <si>
    <t>ДК 021:2015: 22813000-2   Бухгалтерські книги</t>
  </si>
  <si>
    <t>Послуги з проведення робіт по повірці засобів вимірювальної техніки(Дозатори піпеткові  варіабельного об'єму (за один канал))</t>
  </si>
  <si>
    <t>Консультативні послуги з питань обслуговування (супроводження) програмного забезпечення)</t>
  </si>
  <si>
    <t>ДК 016:2010: 62.02.2   Послуги щодо консультування стосовно систем і програмного забезпечення</t>
  </si>
  <si>
    <t>ДК 021:2015: 72261000-2   Послуги з обслуговування програмного забезпечення</t>
  </si>
  <si>
    <t>Дератизація приміщення закладу</t>
  </si>
  <si>
    <t>ДК 016:2010: 81.29.1   Послуги щодо очищування, інші</t>
  </si>
  <si>
    <t>ДК 021:2015: 90923000-3   Послуги з дератизації</t>
  </si>
  <si>
    <t>Господарчі товари(Світильник діодний вбуд/накл.4*8w,Ecostrum</t>
  </si>
  <si>
    <t>3 ДК 021:2015: 1524000-5   Настельна чи настінна освітлювальна арматура</t>
  </si>
  <si>
    <t>Контроль роботи парових, повітряних та газових стерилізаторів з використанням біологічних індикаторів</t>
  </si>
  <si>
    <t>ДК 016:2010: 86.90.1   Послуги у сфері охорони здоров’я, інші</t>
  </si>
  <si>
    <t>ДК 021:2015: 85100000-0   Послуги у сфері охорони здоров’я</t>
  </si>
  <si>
    <t>Затверджений рішенням комітету з конкурсних торгів від 08.11.2016 р. №23</t>
  </si>
  <si>
    <t>Хімічні реактиви медичного призначення (Гель для УЗД 5000гр(контейнер)</t>
  </si>
  <si>
    <t>ДК 016:2010: 32.50.5   Вироби медичної та хірургічної призначеності, інші</t>
  </si>
  <si>
    <t>ДК 021:2015: 24964000-9   Гліцерин</t>
  </si>
  <si>
    <t>Послуги з проведення робіт по повірці засобів вимірювальної техніки(Ваги лабораторні важільні кл. 3,4; усіх типів;Ваги лаб. важільні рівноплечі кл. 1,2; усіх типів;Ваги лаб. квадрантні і торсійні; усіх типів;Гиря (г, мг) загального призначення кл.т. МІ і 4 кл.т. до 500 г; усіх типів;Гиря (кг, г, мг) загального призначення кл.т. И, Г2 і 2, 3 кл.т.; усіх типів)</t>
  </si>
  <si>
    <t>Контроль роботи парових,повітряних та газових стерилізаторів з використанням біологічних індикаторів</t>
  </si>
  <si>
    <t>Лабораторні ваги електронного типу ТВЕ-0,21-0,001</t>
  </si>
  <si>
    <t>ДК 016:2010: 28.29.3   Устатковання для зважування та вимірювання промислове, побутове та іншої призначеності</t>
  </si>
  <si>
    <t>ДК 021:2015: 38311000-8   Електронні ваги та приладдя до них</t>
  </si>
  <si>
    <t>Послуги з опрацювання первинного матеріалу медичних рекомендацій, що не містять патентованих назв лікарських засобів, медичної техніки, виробів медичного призначення на відповідність вимогам законодавства України та галузевої нормативної бази.</t>
  </si>
  <si>
    <t>ДК 016:2010: 63.99.1   Послуги інформаційні, інші, н.в.і.у.</t>
  </si>
  <si>
    <t>ДК 021:2015: 64216000-3   Послуги систем електронної передачі електронних повідомлень та інформації</t>
  </si>
  <si>
    <t>Господарчі товари (Мило господарче 72%)</t>
  </si>
  <si>
    <t>ДК 016:2010: 20.41.3   Мило, засоби мийні та засоби для чищення</t>
  </si>
  <si>
    <t>ДК 021:2015: 33711000-7   Парфуми та засоби гігієни</t>
  </si>
  <si>
    <t>Господарчі товари(Засіб для миття посуду,мийний засіб порошкоподібний, засіб для чищення )</t>
  </si>
  <si>
    <t>ДК 021:2015: 39831000-6   Засоби для прання і миття</t>
  </si>
  <si>
    <t>Господарчі товари ( лампи світлодіодні)</t>
  </si>
  <si>
    <t>Господарчі товари (мітла з ручкою, віник сорго сорт-А)</t>
  </si>
  <si>
    <t>ДК 016:2010: 32.91.1   Мітли та щітки</t>
  </si>
  <si>
    <t>ДК 021:2015: 39224000-8   Мітли, щітки та інше господарське приладдя</t>
  </si>
  <si>
    <t>Господарчі товари (Відро садово-городнє)</t>
  </si>
  <si>
    <t>ДК 016:2010: 22.22.1   Тара пластмасова</t>
  </si>
  <si>
    <t>Господарчі товари (Лопата снігоприбиральна з держаком, лопата снігоприбиральна (ковш 45см*30 см), лопата для прибирання снігу (модернізована.))</t>
  </si>
  <si>
    <t>ДК 016:2010: 25.73.1   Інструменти ручні для використання в сільському господарстві, садівництві чи лісовому господарстві</t>
  </si>
  <si>
    <t>ДК 021:2015: 44511000-5   Ручні знаряддя</t>
  </si>
  <si>
    <t>Послуги з прання постільної білизни, рушників, халатів</t>
  </si>
  <si>
    <t>ДК 016:2010: 96.01.1   Послуги щодо прання та хімічного чищення текстильних і хутряних виробів</t>
  </si>
  <si>
    <t>ДК 021:2015: 98310000-9   Послуги з прання і сухого чищення</t>
  </si>
  <si>
    <t>Господарчі товари (Лампи люм.18/54,лампт світлодіодні)</t>
  </si>
  <si>
    <t>ДК 021:2015: 31524000-5   Настельна чи настінна освітлювальна арматура</t>
  </si>
  <si>
    <t xml:space="preserve"> Нафтопродукти (Бензин А-92 з присадкою JET)</t>
  </si>
  <si>
    <t>ДК 016:2010: 19.20.2   Паливо рідинне та газ; оливи мастильні</t>
  </si>
  <si>
    <t>ДК 021:2015: 09132000-3   Бензин</t>
  </si>
  <si>
    <t>Мікропіпетки варіабельного об'єму( 500-5000 мкл,100-1000 мкл)</t>
  </si>
  <si>
    <t>ДК 016:2010: 22.29.2   Вироби пластмасові інші, н.в.і.у.</t>
  </si>
  <si>
    <t>ДК 021:2015: 19520000-7   Пластмасові вироби</t>
  </si>
  <si>
    <t>Ппослуги з проведення робіт по повірці засобів вимірювальної техніки(Мікрометри окулярні;Повірка камер Горяєва в кількості до 10шт.;,Аттестация микротома санного, микроскопов биологических до 10 шт;)</t>
  </si>
  <si>
    <t>Господарчі товари (Лампа лінійна галогенна розжарення J189 240-1500W)</t>
  </si>
  <si>
    <t>ДК 021:2015: 31512000-8   Галогенні лампи розжарення</t>
  </si>
  <si>
    <t>Господарчі товари (Лампиа DRL 250W E-40)</t>
  </si>
  <si>
    <t>ДК 021:2015: 31517000-3   Дугові лампи</t>
  </si>
  <si>
    <t>Хімічні реактиви (Кислота хлорна, бут.1,5 кг)</t>
  </si>
  <si>
    <t>Хімічні реактиви медичного призначення (Набір ЛГ, Набір ФСГ, ТТГ-ІФА, Т4 вільн.-ІФА, Пролактин-ІФА, Тестостерон-ІФА, Естрадіол-ІФА)</t>
  </si>
  <si>
    <t>ДК 016:2010: 20.14.4   Сполуки органічні з азотною функційною групою</t>
  </si>
  <si>
    <t>ДК 021:2015: 24324000-1   Органічні сполуки з азотною групою</t>
  </si>
  <si>
    <t>Послуги з проведення періодичного профілактичного медичного огляду працівників, що контактують із джерелами іонізуючого випромінювання, і які відносяться до категорії "А" з метою профілактики професійних захворювань</t>
  </si>
  <si>
    <t>ДК 016:2010: 86.10.1   Послуги лікувальних закладів</t>
  </si>
  <si>
    <t>ДК 021:2015: 85111000-0   Послуги лікувальних закладів</t>
  </si>
  <si>
    <t>Продукти харчування(Печінка куряча охолоджена)</t>
  </si>
  <si>
    <t>ДК 016:2010: 10.12.4   Субпродукти харчові свійської птиці</t>
  </si>
  <si>
    <t>ДК 021:2015: 15112000-6   М’ясо свійської птиці</t>
  </si>
  <si>
    <t>Продукти харчування (М’ясо свійської птиці охолоджене)</t>
  </si>
  <si>
    <t>ДК 016:2010: 10.12.1   М’ясо свійської птиці, свіже чи охолоджене</t>
  </si>
  <si>
    <t>ДК 021:2015: 33651000-8   Загальні протиінфекційні засоби для системного застосування та вакцини</t>
  </si>
  <si>
    <t>Хімічні реактиви медичного призначення(Агар Мюллера-Хінтона)</t>
  </si>
  <si>
    <t>Хімічні реактиви медичного призначення (Диски з азитроміцином № 100, Диски  з амоксиклавом № 100,  Диски з доксицикліном № 100, Диски з левоміцетином (хлорамфенікол) № 100, Диски з тетрацикліном № 100, Диски з ципрофлоксацином № 100, Диски з лінкоміцином № 100, Диски з фурамагом № 50, Диски з цефіксимом № 100, Диски з кліндоміцином № 100, Диски з фурагіном № 50, Диски з амікацином № 100, Диски з офлоксацином № 100, Диски з меропенемом № 100, Диски з цефтазидимом № 100, Диски з гатіфлоксацином № 100, Диски з азлоциллином (75мкг) №100,  Диски з нітрофурантоїном (фурадоніном) (300мкг) №100, Ацетонтест, №50, смужки індикаторні, Глюкотест, №100, смужки індикаторні, Тест-реагент анті-Д, 10мл. (100 доз)</t>
  </si>
  <si>
    <t>Хімічні реактиви медичного призначення (Набір Гемоглобін (Реагент) (БП 004-03), Калібратор гемоглобіну 3 фл  (Реагент) (ПК 39.1-06))</t>
  </si>
  <si>
    <t>ДК 021:2015: 33696000-5   Реактиви та контрастні речовини</t>
  </si>
  <si>
    <t>Хіміні реактиви медичного призначення (Холестерин СпЛ 100, Тригліцериди СпЛ 100)</t>
  </si>
  <si>
    <t>ДК 016:2010: 20.14.2   Спирти, феноли, фенолоспирти та їхні галогено-, сульфо-, нітро-чи нітрозопохідні; спирти жирні технічні</t>
  </si>
  <si>
    <t>Хімічні реактиви медичного призначення (АТ-ТПО-ІФА, РФ-латекс-тест, АСЛ-О-латекс-тест, СРБ-латекс-тест)</t>
  </si>
  <si>
    <t>ДК 016:2010: 20.14.5   Сполуки сіркоорганічні та інші органічно-неорганічні сполуки; гетероциклічні сполуки, н.в.і.у.</t>
  </si>
  <si>
    <t>Хімічні реактиви медичного призначення (Сечовина-кін СпЛ 100)</t>
  </si>
  <si>
    <t>Хімічні реактиви медичного призначення (Лужна фосфатаза-кін.СпЛ (ЛФ-кін.СпЛ)80, Аланінамінотрансфераза-кін.СпЛ (АЛТ-кін.СпЛ)100, Аспартатамінотрансфераза-кін.СпЛ (АСТ-кін. СпЛ) 100, Білірубін загальний СпЛ 100, Білірубін прямий СпЛ 100)</t>
  </si>
  <si>
    <t>Хімічні реактиви медичного призначення (Креатинін-кін-СпЛ-200)</t>
  </si>
  <si>
    <t>ДК 016:2010: 21.10.3   Лактони, н.в.і.у.,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</t>
  </si>
  <si>
    <t>Хімічні реактиви медичного призначення (Набір Фосфор UV (Філісіт)</t>
  </si>
  <si>
    <t>ДК 016:2010: 20.13.4   Сульфіди, сульфати; нітрати, фосфати і карбонати</t>
  </si>
  <si>
    <t>ДК 021:2015: 24313000-1   Сульфіди, сульфати; нітрати, фосфати та карбонати</t>
  </si>
  <si>
    <t>Хімічні реактиви медичного призначення (Залізо 30 (3-257), Кальцій 60 (3-251)</t>
  </si>
  <si>
    <t>Хімічні реактиви медичного призначення(Набір Сіроглікоїди (REF HP019.01) (Філісіт)   )</t>
  </si>
  <si>
    <t>Хімічні реактиви медичного призначення (Холестерин ліпопротеїну високої густини (2-053))</t>
  </si>
  <si>
    <t>Хімічні реактиви медичного призначення(Набір Альбуміну (філісіт),Набір загальний білок (філісіт))</t>
  </si>
  <si>
    <t>ДК 016:2010: 20.59.6   Желатин і його похідні, зокрема молочні альбуміни</t>
  </si>
  <si>
    <t>Дезінфікуючі засоби (Смуги індикаторні Стерилан 180/60)</t>
  </si>
  <si>
    <t>ДК 021:2015: 24960000-1   Хімічна продукція різна</t>
  </si>
  <si>
    <t>Послуги з проведення періодичного профілактичного медичного огляду працівників</t>
  </si>
  <si>
    <t>Чіп сенсор ІІ для глюкози Biosen C_line та S_line</t>
  </si>
  <si>
    <t>ДК 016:2010: 26.51.5   Прилади для контролювання інших фізичних характеристик</t>
  </si>
  <si>
    <t>ДК 021:2015: 35125000-6   Системи стеження</t>
  </si>
  <si>
    <t>Хімічні реактиви медичного призначення (ABX CLEANER 1Л, ферментативний розчин (АВХ Клінер 1л; Пара 12 Extend N (Контрольний матеріал, 2,5мл; Пара 12 Extend H (Контрольний матеріал, 2,5мл);АВХ MINIDIL LMG 20Л, ізотонічний розчин (АВХ Мініділ ЛМГ 20л); АВХ MINILYSE LMG 1Л, лізуючий розчин (АВХ Мінілайз ЛМГ 1л); Система для забору крові з пробкою та капіляром 200 мкл КЗ EDTA червона)</t>
  </si>
  <si>
    <t>Хімічні реактиви медичного призначення (Глюкоза/лактат гемолізуючий розчин + 20 мкл безперервні пластмасові капіляри Na-гепарин, 1000х1мл в 2,0 мл сейф-лок мікропробірках + 1000 капілярів; ReadyCon Глюкоза нормальна/лактат випробувальні реагенти, готові до використання, 25 сейф-лок мікропробірок; Глюкоза/лактат реагенти системи, пляшка 500мл; Мультистандарт розчини 12mmol/l, готовий до використання, 100х2мл в мікропробірках червоного кольору)</t>
  </si>
  <si>
    <t>ДК 016:2010: 20.14.1   Вуглеводні та їхні похідні</t>
  </si>
  <si>
    <t>ДК 021:2015: 33692000-7   Медичні розчини</t>
  </si>
  <si>
    <t>Затверджений рішенням комітету з конкурсних торгів від 21.11.2016 р. №28</t>
  </si>
  <si>
    <t>Затверджений рішенням комітету з конкурсних торгів від 14.11.2016 р. №25</t>
  </si>
  <si>
    <t>Хімічні реактиви медичного призначення ( Плазма кроляча суха цитратна 1мл №10)</t>
  </si>
  <si>
    <t>Послуги з технічних випробувань, аналізу та консультування: проведення ревізії та наладки схем АВР електрощитових 0,4кВ головного корпусу, поліклініки та котельні</t>
  </si>
  <si>
    <t>Вироби медичного призначення (Пристрій ПР 21-01 мет.голка;джгут для внутрінньовенних маніпуляцій)</t>
  </si>
  <si>
    <t>Вироби медичного призначення (Шприци, канюлі, скарификатори, шпателі,татетери,комплекти для забору капілярної крові)</t>
  </si>
  <si>
    <t>Вироби медичного призначення (Термометри медичні)</t>
  </si>
  <si>
    <t>Вироби медичного призначення (Вимірювач АТ)</t>
  </si>
  <si>
    <t>Медикаменти (Протафан НМ Пенфіл)</t>
  </si>
  <si>
    <t>Лікарські препарати (Актрапид НМ Пенфіл, Хумулін регуляр, Хумулін НПХ)</t>
  </si>
  <si>
    <t>Прання постільної білизни, рушників, халатів</t>
  </si>
  <si>
    <t>ДК 021:2015: 71600000-4: Послуги з технічних випробувань, аналізу та консультування</t>
  </si>
  <si>
    <t>ДК 016:2010:32.50.1: Інструменти і прилади медичні, хірургічні та стоматологічні</t>
  </si>
  <si>
    <t>ДК 016:2010:26.51.5: Прилади для контролювання інших фізичних характеристик</t>
  </si>
  <si>
    <t>ДК 016:2010:21.10.6: Залози та інші органи, екстракти цих речовин та інші речовини людського чи тваринного походження, н.в.і.у.</t>
  </si>
  <si>
    <t>ДК 016:2010:96.01.1: Послуги щодо прання та хімічного чищення текстильних і хутряних виробів</t>
  </si>
  <si>
    <t>ДК 016:2010:95.11.1: Ремонтування комп’ютерів і периферійного устатковання</t>
  </si>
  <si>
    <t>ДК 021:2015:33194000-6: Прилади та інструменти для переливання та вливання крові / розчинів</t>
  </si>
  <si>
    <t>ДК 021:2015:33141000-0: Медичні матеріали нехімічні та гематологічні одноразового застосування</t>
  </si>
  <si>
    <t>ДК 021:2015:38412000-6: Термометри</t>
  </si>
  <si>
    <t>ДК 021:2015:38423000-6: Обладнання для вимірювання тиску</t>
  </si>
  <si>
    <t>ДК 021:2015:33615000-4: Протидіабетичні лікарські засоби</t>
  </si>
  <si>
    <t>ДК 021:2015:98310000-9: Послуги з прання і сухого чищення</t>
  </si>
  <si>
    <t>ДК 021:2015:50300000-8: Ремонт, технічне обслуговування персональних комп’ютерів, офісного, телекомунікаційного та аудіовізуального обладнання, а також супутні послуги</t>
  </si>
  <si>
    <t>ДК 021:2015:22813000-2   Бухгалтерські книги</t>
  </si>
  <si>
    <t>ДК 021:2015:22820000-4   Бланки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</si>
</sst>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2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Arial Cyr"/>
      <charset val="204"/>
    </font>
    <font>
      <u/>
      <sz val="10"/>
      <color theme="10"/>
      <name val="Arial Cyr"/>
      <charset val="204"/>
    </font>
    <font>
      <u/>
      <sz val="11"/>
      <name val="Arial Cyr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8.25"/>
      <color theme="1"/>
      <name val="Tahoma"/>
      <charset val="204"/>
    </font>
    <font>
      <sz val="11.4"/>
      <name val="Arial"/>
      <family val="2"/>
      <charset val="204"/>
    </font>
    <font>
      <sz val="8.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5EC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1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2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/>
    <xf numFmtId="2" fontId="5" fillId="2" borderId="5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/>
    <xf numFmtId="0" fontId="6" fillId="2" borderId="0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left" vertical="center" wrapText="1"/>
    </xf>
    <xf numFmtId="0" fontId="5" fillId="2" borderId="0" xfId="0" applyFont="1" applyFill="1"/>
    <xf numFmtId="0" fontId="6" fillId="2" borderId="0" xfId="0" applyFont="1" applyFill="1" applyBorder="1" applyAlignment="1">
      <alignment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0" fillId="2" borderId="0" xfId="0" applyFont="1" applyFill="1" applyBorder="1"/>
    <xf numFmtId="0" fontId="12" fillId="2" borderId="5" xfId="2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left" vertical="center" wrapText="1"/>
    </xf>
    <xf numFmtId="2" fontId="6" fillId="2" borderId="0" xfId="3" applyNumberFormat="1" applyFont="1" applyFill="1" applyBorder="1" applyAlignment="1">
      <alignment vertical="center" wrapText="1"/>
    </xf>
    <xf numFmtId="2" fontId="6" fillId="2" borderId="0" xfId="0" applyNumberFormat="1" applyFont="1" applyFill="1" applyBorder="1" applyAlignment="1">
      <alignment vertical="center" wrapText="1"/>
    </xf>
    <xf numFmtId="0" fontId="13" fillId="2" borderId="0" xfId="0" applyFont="1" applyFill="1" applyBorder="1"/>
    <xf numFmtId="2" fontId="8" fillId="2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2" fontId="6" fillId="2" borderId="5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center" vertical="center"/>
    </xf>
    <xf numFmtId="2" fontId="6" fillId="2" borderId="0" xfId="0" applyNumberFormat="1" applyFont="1" applyFill="1" applyBorder="1" applyAlignment="1" applyProtection="1">
      <alignment horizontal="center" vertical="center"/>
    </xf>
    <xf numFmtId="2" fontId="5" fillId="2" borderId="0" xfId="0" applyNumberFormat="1" applyFont="1" applyFill="1" applyBorder="1"/>
    <xf numFmtId="0" fontId="6" fillId="2" borderId="6" xfId="0" applyNumberFormat="1" applyFont="1" applyFill="1" applyBorder="1" applyAlignment="1" applyProtection="1">
      <alignment horizontal="center" vertical="center"/>
    </xf>
    <xf numFmtId="0" fontId="6" fillId="2" borderId="6" xfId="0" applyNumberFormat="1" applyFont="1" applyFill="1" applyBorder="1" applyAlignment="1" applyProtection="1">
      <alignment vertical="center"/>
    </xf>
    <xf numFmtId="0" fontId="6" fillId="2" borderId="0" xfId="0" applyNumberFormat="1" applyFont="1" applyFill="1" applyBorder="1" applyAlignment="1" applyProtection="1">
      <alignment vertical="center"/>
    </xf>
    <xf numFmtId="1" fontId="4" fillId="2" borderId="5" xfId="0" applyNumberFormat="1" applyFont="1" applyFill="1" applyBorder="1" applyAlignment="1">
      <alignment horizontal="left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14" fillId="2" borderId="5" xfId="0" applyNumberFormat="1" applyFont="1" applyFill="1" applyBorder="1" applyAlignment="1">
      <alignment horizontal="center" vertical="center" wrapText="1"/>
    </xf>
    <xf numFmtId="0" fontId="0" fillId="2" borderId="5" xfId="0" applyFont="1" applyFill="1" applyBorder="1"/>
    <xf numFmtId="49" fontId="8" fillId="2" borderId="5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left" vertical="center" wrapText="1"/>
    </xf>
    <xf numFmtId="2" fontId="15" fillId="2" borderId="6" xfId="0" applyNumberFormat="1" applyFont="1" applyFill="1" applyBorder="1" applyAlignment="1">
      <alignment horizontal="left" vertical="center" wrapText="1"/>
    </xf>
    <xf numFmtId="2" fontId="14" fillId="2" borderId="5" xfId="0" applyNumberFormat="1" applyFont="1" applyFill="1" applyBorder="1" applyAlignment="1">
      <alignment horizontal="left" vertical="center" wrapText="1"/>
    </xf>
    <xf numFmtId="2" fontId="14" fillId="2" borderId="5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vertical="center" wrapText="1"/>
    </xf>
    <xf numFmtId="0" fontId="13" fillId="2" borderId="5" xfId="4" applyFont="1" applyFill="1" applyBorder="1" applyAlignment="1" applyProtection="1">
      <alignment horizontal="left" vertical="center" wrapText="1"/>
    </xf>
    <xf numFmtId="1" fontId="5" fillId="2" borderId="5" xfId="0" applyNumberFormat="1" applyFont="1" applyFill="1" applyBorder="1"/>
    <xf numFmtId="164" fontId="6" fillId="2" borderId="0" xfId="1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/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0" fontId="16" fillId="2" borderId="0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2" fontId="9" fillId="2" borderId="0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/>
    </xf>
    <xf numFmtId="2" fontId="13" fillId="2" borderId="5" xfId="0" applyNumberFormat="1" applyFont="1" applyFill="1" applyBorder="1"/>
    <xf numFmtId="0" fontId="6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vertical="center" wrapText="1"/>
    </xf>
    <xf numFmtId="4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top" wrapText="1"/>
    </xf>
    <xf numFmtId="0" fontId="11" fillId="0" borderId="0" xfId="2" applyAlignment="1">
      <alignment vertical="top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2" fontId="9" fillId="3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justify" vertical="center" wrapText="1"/>
    </xf>
    <xf numFmtId="0" fontId="6" fillId="2" borderId="16" xfId="0" applyFont="1" applyFill="1" applyBorder="1"/>
    <xf numFmtId="0" fontId="6" fillId="2" borderId="17" xfId="0" applyFont="1" applyFill="1" applyBorder="1" applyAlignment="1">
      <alignment horizontal="left"/>
    </xf>
    <xf numFmtId="0" fontId="6" fillId="2" borderId="17" xfId="0" applyFont="1" applyFill="1" applyBorder="1"/>
    <xf numFmtId="49" fontId="6" fillId="2" borderId="17" xfId="0" applyNumberFormat="1" applyFont="1" applyFill="1" applyBorder="1" applyAlignment="1">
      <alignment horizontal="center"/>
    </xf>
    <xf numFmtId="1" fontId="6" fillId="2" borderId="17" xfId="0" applyNumberFormat="1" applyFont="1" applyFill="1" applyBorder="1" applyAlignment="1">
      <alignment horizontal="center" vertical="center" wrapText="1"/>
    </xf>
    <xf numFmtId="2" fontId="6" fillId="2" borderId="17" xfId="0" applyNumberFormat="1" applyFont="1" applyFill="1" applyBorder="1" applyAlignment="1">
      <alignment horizontal="center" vertical="center" wrapText="1"/>
    </xf>
    <xf numFmtId="2" fontId="6" fillId="2" borderId="15" xfId="0" applyNumberFormat="1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164" fontId="5" fillId="2" borderId="0" xfId="1" applyFont="1" applyFill="1" applyBorder="1"/>
    <xf numFmtId="4" fontId="18" fillId="0" borderId="0" xfId="0" applyNumberFormat="1" applyFont="1" applyBorder="1" applyAlignment="1">
      <alignment vertical="center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left" vertical="center" wrapText="1"/>
    </xf>
    <xf numFmtId="2" fontId="6" fillId="2" borderId="9" xfId="0" applyNumberFormat="1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left" vertical="center" wrapText="1"/>
    </xf>
    <xf numFmtId="2" fontId="6" fillId="2" borderId="13" xfId="0" applyNumberFormat="1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wrapText="1"/>
    </xf>
    <xf numFmtId="49" fontId="6" fillId="2" borderId="0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</cellXfs>
  <cellStyles count="6">
    <cellStyle name="Гиперссылка" xfId="2" builtinId="8"/>
    <cellStyle name="Гиперссылка 2" xfId="4"/>
    <cellStyle name="Денежный" xfId="1" builtinId="4"/>
    <cellStyle name="Обычный" xfId="0" builtinId="0"/>
    <cellStyle name="Обычный 2" xfId="3"/>
    <cellStyle name="Обычный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dkpp.rv.ua/index.php?level=17.29.1" TargetMode="External"/><Relationship Id="rId18" Type="http://schemas.openxmlformats.org/officeDocument/2006/relationships/hyperlink" Target="http://dkpp.rv.ua/index.php?search=26.51.6&amp;type=code" TargetMode="External"/><Relationship Id="rId26" Type="http://schemas.openxmlformats.org/officeDocument/2006/relationships/hyperlink" Target="http://dkpp.rv.ua/index.php?level=20.30.2" TargetMode="External"/><Relationship Id="rId39" Type="http://schemas.openxmlformats.org/officeDocument/2006/relationships/hyperlink" Target="http://dk16.dovidnyk.info/index.php?rozd=14751" TargetMode="External"/><Relationship Id="rId21" Type="http://schemas.openxmlformats.org/officeDocument/2006/relationships/hyperlink" Target="http://dk16.dovidnyk.info/index.php?rozd=21201" TargetMode="External"/><Relationship Id="rId34" Type="http://schemas.openxmlformats.org/officeDocument/2006/relationships/hyperlink" Target="http://dk16.dovidnyk.info/index.php?rozd=14751" TargetMode="External"/><Relationship Id="rId42" Type="http://schemas.openxmlformats.org/officeDocument/2006/relationships/hyperlink" Target="http://dkpp.rv.ua/index.php?level=85.59.1" TargetMode="External"/><Relationship Id="rId47" Type="http://schemas.openxmlformats.org/officeDocument/2006/relationships/hyperlink" Target="http://dkpp.rv.ua/index.php?search=26.51.6&amp;type=code" TargetMode="External"/><Relationship Id="rId50" Type="http://schemas.openxmlformats.org/officeDocument/2006/relationships/hyperlink" Target="http://dkpp.rv.ua/index.php?level=38.11.2" TargetMode="External"/><Relationship Id="rId55" Type="http://schemas.openxmlformats.org/officeDocument/2006/relationships/hyperlink" Target="http://dkpp.rv.ua/index.php?level=21.10.6" TargetMode="External"/><Relationship Id="rId63" Type="http://schemas.openxmlformats.org/officeDocument/2006/relationships/hyperlink" Target="http://dkpp.rv.ua/index.php?level=22.29.2" TargetMode="External"/><Relationship Id="rId68" Type="http://schemas.openxmlformats.org/officeDocument/2006/relationships/hyperlink" Target="http://dkpp.rv.ua/index.php?level=85.59.1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16.dovidnyk.info/index.php?rozd=20759" TargetMode="External"/><Relationship Id="rId2" Type="http://schemas.openxmlformats.org/officeDocument/2006/relationships/hyperlink" Target="http://dk16.dovidnyk.info/index.php?rozd=9872" TargetMode="External"/><Relationship Id="rId16" Type="http://schemas.openxmlformats.org/officeDocument/2006/relationships/hyperlink" Target="http://dkpp.rv.ua/index.php?level=22.29.2" TargetMode="External"/><Relationship Id="rId29" Type="http://schemas.openxmlformats.org/officeDocument/2006/relationships/hyperlink" Target="http://dkpp.rv.ua/index.php?level=22.29.2" TargetMode="External"/><Relationship Id="rId11" Type="http://schemas.openxmlformats.org/officeDocument/2006/relationships/hyperlink" Target="http://dkpp.rv.ua/index.php?level=22.29.2" TargetMode="External"/><Relationship Id="rId24" Type="http://schemas.openxmlformats.org/officeDocument/2006/relationships/hyperlink" Target="http://dkpp.rv.ua/index.php?level=86.90.1" TargetMode="External"/><Relationship Id="rId32" Type="http://schemas.openxmlformats.org/officeDocument/2006/relationships/hyperlink" Target="http://dkpp.rv.ua/index.php?level=86.90.1" TargetMode="External"/><Relationship Id="rId37" Type="http://schemas.openxmlformats.org/officeDocument/2006/relationships/hyperlink" Target="http://dkpp.rv.ua/index.php?level=21.10.6" TargetMode="External"/><Relationship Id="rId40" Type="http://schemas.openxmlformats.org/officeDocument/2006/relationships/hyperlink" Target="http://dkpp.rv.ua/index.php?level=38.11.2" TargetMode="External"/><Relationship Id="rId45" Type="http://schemas.openxmlformats.org/officeDocument/2006/relationships/hyperlink" Target="http://dkpp.rv.ua/index.php?search=26.51.6&amp;type=code" TargetMode="External"/><Relationship Id="rId53" Type="http://schemas.openxmlformats.org/officeDocument/2006/relationships/hyperlink" Target="http://dk16.dovidnyk.info/index.php?rozd=20211" TargetMode="External"/><Relationship Id="rId58" Type="http://schemas.openxmlformats.org/officeDocument/2006/relationships/hyperlink" Target="http://dkpp.rv.ua/index.php?level=08.11.3" TargetMode="External"/><Relationship Id="rId66" Type="http://schemas.openxmlformats.org/officeDocument/2006/relationships/hyperlink" Target="http://dkpp.rv.ua/index.php?level=80.20.1" TargetMode="External"/><Relationship Id="rId5" Type="http://schemas.openxmlformats.org/officeDocument/2006/relationships/hyperlink" Target="http://dkpp.rv.ua/index.php?level=80.20.1" TargetMode="External"/><Relationship Id="rId15" Type="http://schemas.openxmlformats.org/officeDocument/2006/relationships/hyperlink" Target="http://dkpp.rv.ua/index.php?level=26.51.5" TargetMode="External"/><Relationship Id="rId23" Type="http://schemas.openxmlformats.org/officeDocument/2006/relationships/hyperlink" Target="http://dkpp.rv.ua/index.php?level=08.11.3" TargetMode="External"/><Relationship Id="rId28" Type="http://schemas.openxmlformats.org/officeDocument/2006/relationships/hyperlink" Target="http://dkpp.rv.ua/index.php?level=22.29.2" TargetMode="External"/><Relationship Id="rId36" Type="http://schemas.openxmlformats.org/officeDocument/2006/relationships/hyperlink" Target="http://dkpp.rv.ua/index.php?level=21.10.6" TargetMode="External"/><Relationship Id="rId49" Type="http://schemas.openxmlformats.org/officeDocument/2006/relationships/hyperlink" Target="http://dkpp.rv.ua/index.php?level=21.10.6" TargetMode="External"/><Relationship Id="rId57" Type="http://schemas.openxmlformats.org/officeDocument/2006/relationships/hyperlink" Target="http://dkpp.rv.ua/index.php?level=63.99.1" TargetMode="External"/><Relationship Id="rId61" Type="http://schemas.openxmlformats.org/officeDocument/2006/relationships/hyperlink" Target="http://dkpp.rv.ua/index.php?level=22.29.2" TargetMode="External"/><Relationship Id="rId10" Type="http://schemas.openxmlformats.org/officeDocument/2006/relationships/hyperlink" Target="http://dkpp.rv.ua/index.php?level=20.11.1" TargetMode="External"/><Relationship Id="rId19" Type="http://schemas.openxmlformats.org/officeDocument/2006/relationships/hyperlink" Target="http://dkpp.rv.ua/index.php?level=17.29.1" TargetMode="External"/><Relationship Id="rId31" Type="http://schemas.openxmlformats.org/officeDocument/2006/relationships/hyperlink" Target="http://dk16.dovidnyk.info/index.php?rozd=14751" TargetMode="External"/><Relationship Id="rId44" Type="http://schemas.openxmlformats.org/officeDocument/2006/relationships/hyperlink" Target="http://dkpp.rv.ua/index.php?level=22.29.2" TargetMode="External"/><Relationship Id="rId52" Type="http://schemas.openxmlformats.org/officeDocument/2006/relationships/hyperlink" Target="http://dkpp.rv.ua/index.php?level=21.10.6" TargetMode="External"/><Relationship Id="rId60" Type="http://schemas.openxmlformats.org/officeDocument/2006/relationships/hyperlink" Target="http://dkpp.rv.ua/index.php?level=20.30.2" TargetMode="External"/><Relationship Id="rId65" Type="http://schemas.openxmlformats.org/officeDocument/2006/relationships/hyperlink" Target="http://dk16.dovidnyk.info/index.php?rozd=20759" TargetMode="External"/><Relationship Id="rId73" Type="http://schemas.openxmlformats.org/officeDocument/2006/relationships/printerSettings" Target="../printerSettings/printerSettings16.bin"/><Relationship Id="rId4" Type="http://schemas.openxmlformats.org/officeDocument/2006/relationships/hyperlink" Target="http://dk16.dovidnyk.info/index.php?rozd=20759" TargetMode="External"/><Relationship Id="rId9" Type="http://schemas.openxmlformats.org/officeDocument/2006/relationships/hyperlink" Target="http://dk16.dovidnyk.info/index.php?rozd=19647" TargetMode="External"/><Relationship Id="rId14" Type="http://schemas.openxmlformats.org/officeDocument/2006/relationships/hyperlink" Target="http://dkpp.rv.ua/index.php?level=20.13.6" TargetMode="External"/><Relationship Id="rId22" Type="http://schemas.openxmlformats.org/officeDocument/2006/relationships/hyperlink" Target="http://dk16.dovidnyk.info/index.php?rozd=14751" TargetMode="External"/><Relationship Id="rId27" Type="http://schemas.openxmlformats.org/officeDocument/2006/relationships/hyperlink" Target="http://dkpp.rv.ua/index.php?level=20.30.2" TargetMode="External"/><Relationship Id="rId30" Type="http://schemas.openxmlformats.org/officeDocument/2006/relationships/hyperlink" Target="http://dk16.dovidnyk.info/index.php?rozd=14751" TargetMode="External"/><Relationship Id="rId35" Type="http://schemas.openxmlformats.org/officeDocument/2006/relationships/hyperlink" Target="http://dkpp.rv.ua/index.php?level=86.90.1" TargetMode="External"/><Relationship Id="rId43" Type="http://schemas.openxmlformats.org/officeDocument/2006/relationships/hyperlink" Target="http://dkpp.rv.ua/index.php?level=20.11.1" TargetMode="External"/><Relationship Id="rId48" Type="http://schemas.openxmlformats.org/officeDocument/2006/relationships/hyperlink" Target="http://dkpp.rv.ua/index.php?level=22.29.2" TargetMode="External"/><Relationship Id="rId56" Type="http://schemas.openxmlformats.org/officeDocument/2006/relationships/hyperlink" Target="http://dkpp.rv.ua/index.php?level=21.10.6" TargetMode="External"/><Relationship Id="rId64" Type="http://schemas.openxmlformats.org/officeDocument/2006/relationships/hyperlink" Target="http://dkpp.rv.ua/index.php?level=22.29.2" TargetMode="External"/><Relationship Id="rId69" Type="http://schemas.openxmlformats.org/officeDocument/2006/relationships/hyperlink" Target="http://dkpp.rv.ua/index.php?level=22.29.2" TargetMode="External"/><Relationship Id="rId8" Type="http://schemas.openxmlformats.org/officeDocument/2006/relationships/hyperlink" Target="http://dk16.dovidnyk.info/index.php?rozd=19647" TargetMode="External"/><Relationship Id="rId51" Type="http://schemas.openxmlformats.org/officeDocument/2006/relationships/hyperlink" Target="http://dk16.dovidnyk.info/index.php?rozd=20211" TargetMode="External"/><Relationship Id="rId72" Type="http://schemas.openxmlformats.org/officeDocument/2006/relationships/hyperlink" Target="http://dkpp.rv.ua/index.php?level=80.20.1" TargetMode="External"/><Relationship Id="rId3" Type="http://schemas.openxmlformats.org/officeDocument/2006/relationships/hyperlink" Target="http://dk16.dovidnyk.info/index.php?rozd=14751" TargetMode="External"/><Relationship Id="rId12" Type="http://schemas.openxmlformats.org/officeDocument/2006/relationships/hyperlink" Target="http://dkpp.rv.ua/index.php?level=21.10.6" TargetMode="External"/><Relationship Id="rId17" Type="http://schemas.openxmlformats.org/officeDocument/2006/relationships/hyperlink" Target="http://dk16.dovidnyk.info/index.php?rozd=20211" TargetMode="External"/><Relationship Id="rId25" Type="http://schemas.openxmlformats.org/officeDocument/2006/relationships/hyperlink" Target="http://dk16.dovidnyk.info/index.php?rozd=19731" TargetMode="External"/><Relationship Id="rId33" Type="http://schemas.openxmlformats.org/officeDocument/2006/relationships/hyperlink" Target="http://dkpp.rv.ua/index.php?level=86.90.1" TargetMode="External"/><Relationship Id="rId38" Type="http://schemas.openxmlformats.org/officeDocument/2006/relationships/hyperlink" Target="http://dkpp.rv.ua/index.php?level=22.29.2" TargetMode="External"/><Relationship Id="rId46" Type="http://schemas.openxmlformats.org/officeDocument/2006/relationships/hyperlink" Target="http://dk16.dovidnyk.info/index.php?rozd=19731" TargetMode="External"/><Relationship Id="rId59" Type="http://schemas.openxmlformats.org/officeDocument/2006/relationships/hyperlink" Target="http://dkpp.rv.ua/index.php?level=22.29.2" TargetMode="External"/><Relationship Id="rId67" Type="http://schemas.openxmlformats.org/officeDocument/2006/relationships/hyperlink" Target="http://dk16.dovidnyk.info/index.php?rozd=14751" TargetMode="External"/><Relationship Id="rId20" Type="http://schemas.openxmlformats.org/officeDocument/2006/relationships/hyperlink" Target="http://dkpp.rv.ua/index.php?level=63.99.1" TargetMode="External"/><Relationship Id="rId41" Type="http://schemas.openxmlformats.org/officeDocument/2006/relationships/hyperlink" Target="http://dkpp.rv.ua/index.php?search=26.51.6&amp;type=code" TargetMode="External"/><Relationship Id="rId54" Type="http://schemas.openxmlformats.org/officeDocument/2006/relationships/hyperlink" Target="http://dkpp.rv.ua/index.php?level=85.59.1" TargetMode="External"/><Relationship Id="rId62" Type="http://schemas.openxmlformats.org/officeDocument/2006/relationships/hyperlink" Target="http://dkpp.rv.ua/index.php?level=22.29.2" TargetMode="External"/><Relationship Id="rId70" Type="http://schemas.openxmlformats.org/officeDocument/2006/relationships/hyperlink" Target="http://dkpp.rv.ua/index.php?search=26.51.6&amp;type=code" TargetMode="External"/><Relationship Id="rId1" Type="http://schemas.openxmlformats.org/officeDocument/2006/relationships/hyperlink" Target="http://dkpp.rv.ua/index.php?level=37.00.1" TargetMode="External"/><Relationship Id="rId6" Type="http://schemas.openxmlformats.org/officeDocument/2006/relationships/hyperlink" Target="http://dkpp.rv.ua/index.php?level=38.11.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BreakPreview" topLeftCell="A26" zoomScaleNormal="100" zoomScaleSheetLayoutView="100" workbookViewId="0">
      <selection activeCell="J41" sqref="J41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9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9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9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9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9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9" ht="15.75" customHeight="1" x14ac:dyDescent="0.2">
      <c r="A6" s="128">
        <v>1</v>
      </c>
      <c r="B6" s="76">
        <v>2</v>
      </c>
      <c r="C6" s="129">
        <v>3</v>
      </c>
      <c r="D6" s="129">
        <v>4</v>
      </c>
      <c r="E6" s="21">
        <v>5</v>
      </c>
      <c r="F6" s="129">
        <v>6</v>
      </c>
      <c r="G6" s="129">
        <v>7</v>
      </c>
      <c r="H6" s="82">
        <v>8</v>
      </c>
      <c r="I6" s="136"/>
    </row>
    <row r="7" spans="1:9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9" ht="78.75" x14ac:dyDescent="0.2">
      <c r="A8" s="92" t="s">
        <v>1248</v>
      </c>
      <c r="B8" s="89" t="s">
        <v>1249</v>
      </c>
      <c r="C8" s="89" t="s">
        <v>1250</v>
      </c>
      <c r="D8" s="90">
        <v>2230</v>
      </c>
      <c r="E8" s="93">
        <v>3360</v>
      </c>
      <c r="F8" s="90" t="s">
        <v>701</v>
      </c>
      <c r="G8" s="12" t="s">
        <v>1179</v>
      </c>
      <c r="H8" s="17"/>
    </row>
    <row r="9" spans="1:9" ht="47.25" x14ac:dyDescent="0.2">
      <c r="A9" s="92" t="s">
        <v>1251</v>
      </c>
      <c r="B9" s="89" t="s">
        <v>1252</v>
      </c>
      <c r="C9" s="89" t="s">
        <v>1250</v>
      </c>
      <c r="D9" s="90">
        <v>2230</v>
      </c>
      <c r="E9" s="93">
        <v>11232</v>
      </c>
      <c r="F9" s="90" t="s">
        <v>768</v>
      </c>
      <c r="G9" s="12" t="s">
        <v>1179</v>
      </c>
      <c r="H9" s="17"/>
    </row>
    <row r="10" spans="1:9" ht="87" customHeight="1" x14ac:dyDescent="0.2">
      <c r="A10" s="92" t="s">
        <v>1286</v>
      </c>
      <c r="B10" s="89" t="s">
        <v>1103</v>
      </c>
      <c r="C10" s="89" t="s">
        <v>1118</v>
      </c>
      <c r="D10" s="90">
        <v>2220</v>
      </c>
      <c r="E10" s="102">
        <v>163.69999999999999</v>
      </c>
      <c r="F10" s="90" t="s">
        <v>768</v>
      </c>
      <c r="G10" s="12" t="s">
        <v>1179</v>
      </c>
      <c r="H10" s="17"/>
    </row>
    <row r="11" spans="1:9" ht="63" x14ac:dyDescent="0.2">
      <c r="A11" s="92" t="s">
        <v>1048</v>
      </c>
      <c r="B11" s="89" t="s">
        <v>1109</v>
      </c>
      <c r="C11" s="89" t="s">
        <v>1253</v>
      </c>
      <c r="D11" s="90">
        <v>2220</v>
      </c>
      <c r="E11" s="93">
        <v>2880.36</v>
      </c>
      <c r="F11" s="90" t="s">
        <v>768</v>
      </c>
      <c r="G11" s="12" t="s">
        <v>1179</v>
      </c>
      <c r="H11" s="17"/>
    </row>
    <row r="12" spans="1:9" ht="63" x14ac:dyDescent="0.2">
      <c r="A12" s="92" t="s">
        <v>1254</v>
      </c>
      <c r="B12" s="89" t="s">
        <v>1104</v>
      </c>
      <c r="C12" s="89" t="s">
        <v>1113</v>
      </c>
      <c r="D12" s="90">
        <v>2220</v>
      </c>
      <c r="E12" s="93">
        <v>1689.6</v>
      </c>
      <c r="F12" s="90" t="s">
        <v>768</v>
      </c>
      <c r="G12" s="12" t="s">
        <v>1179</v>
      </c>
      <c r="H12" s="17"/>
    </row>
    <row r="13" spans="1:9" ht="408.75" customHeight="1" x14ac:dyDescent="0.2">
      <c r="A13" s="126" t="s">
        <v>1255</v>
      </c>
      <c r="B13" s="89" t="s">
        <v>1109</v>
      </c>
      <c r="C13" s="89" t="s">
        <v>1111</v>
      </c>
      <c r="D13" s="90">
        <v>2220</v>
      </c>
      <c r="E13" s="93">
        <v>9404.92</v>
      </c>
      <c r="F13" s="90" t="s">
        <v>768</v>
      </c>
      <c r="G13" s="12" t="s">
        <v>1179</v>
      </c>
      <c r="H13" s="17"/>
    </row>
    <row r="14" spans="1:9" ht="141.75" x14ac:dyDescent="0.2">
      <c r="A14" s="92" t="s">
        <v>1256</v>
      </c>
      <c r="B14" s="89" t="s">
        <v>1103</v>
      </c>
      <c r="C14" s="89" t="s">
        <v>1257</v>
      </c>
      <c r="D14" s="90">
        <v>2220</v>
      </c>
      <c r="E14" s="93">
        <v>1647.03</v>
      </c>
      <c r="F14" s="90" t="s">
        <v>768</v>
      </c>
      <c r="G14" s="12" t="s">
        <v>1179</v>
      </c>
      <c r="H14" s="17"/>
    </row>
    <row r="15" spans="1:9" ht="94.5" x14ac:dyDescent="0.2">
      <c r="A15" s="92" t="s">
        <v>1258</v>
      </c>
      <c r="B15" s="89" t="s">
        <v>1259</v>
      </c>
      <c r="C15" s="89" t="s">
        <v>1111</v>
      </c>
      <c r="D15" s="90">
        <v>2220</v>
      </c>
      <c r="E15" s="93">
        <v>5692.4</v>
      </c>
      <c r="F15" s="90" t="s">
        <v>701</v>
      </c>
      <c r="G15" s="12" t="s">
        <v>1179</v>
      </c>
      <c r="H15" s="17"/>
    </row>
    <row r="16" spans="1:9" ht="110.25" x14ac:dyDescent="0.2">
      <c r="A16" s="92" t="s">
        <v>1260</v>
      </c>
      <c r="B16" s="89" t="s">
        <v>1261</v>
      </c>
      <c r="C16" s="89" t="s">
        <v>1111</v>
      </c>
      <c r="D16" s="90">
        <v>2220</v>
      </c>
      <c r="E16" s="93">
        <v>7332.04</v>
      </c>
      <c r="F16" s="90" t="s">
        <v>701</v>
      </c>
      <c r="G16" s="12" t="s">
        <v>1179</v>
      </c>
      <c r="H16" s="17"/>
    </row>
    <row r="17" spans="1:10" ht="78.75" x14ac:dyDescent="0.2">
      <c r="A17" s="92" t="s">
        <v>1262</v>
      </c>
      <c r="B17" s="89" t="s">
        <v>1261</v>
      </c>
      <c r="C17" s="89" t="s">
        <v>1244</v>
      </c>
      <c r="D17" s="90">
        <v>2220</v>
      </c>
      <c r="E17" s="90">
        <v>941.6</v>
      </c>
      <c r="F17" s="90" t="s">
        <v>701</v>
      </c>
      <c r="G17" s="12" t="s">
        <v>1179</v>
      </c>
      <c r="H17" s="17"/>
    </row>
    <row r="18" spans="1:10" ht="220.5" x14ac:dyDescent="0.2">
      <c r="A18" s="92" t="s">
        <v>1263</v>
      </c>
      <c r="B18" s="89" t="s">
        <v>1106</v>
      </c>
      <c r="C18" s="89" t="s">
        <v>1111</v>
      </c>
      <c r="D18" s="90">
        <v>2220</v>
      </c>
      <c r="E18" s="93">
        <v>3418.65</v>
      </c>
      <c r="F18" s="90" t="s">
        <v>701</v>
      </c>
      <c r="G18" s="12" t="s">
        <v>1179</v>
      </c>
      <c r="H18" s="17"/>
    </row>
    <row r="19" spans="1:10" ht="157.5" x14ac:dyDescent="0.2">
      <c r="A19" s="92" t="s">
        <v>1264</v>
      </c>
      <c r="B19" s="89" t="s">
        <v>1265</v>
      </c>
      <c r="C19" s="89" t="s">
        <v>1111</v>
      </c>
      <c r="D19" s="90">
        <v>2220</v>
      </c>
      <c r="E19" s="90">
        <v>252.52</v>
      </c>
      <c r="F19" s="90" t="s">
        <v>701</v>
      </c>
      <c r="G19" s="12" t="s">
        <v>1179</v>
      </c>
      <c r="H19" s="17"/>
    </row>
    <row r="20" spans="1:10" ht="78.75" x14ac:dyDescent="0.2">
      <c r="A20" s="92" t="s">
        <v>1266</v>
      </c>
      <c r="B20" s="89" t="s">
        <v>1267</v>
      </c>
      <c r="C20" s="89" t="s">
        <v>1268</v>
      </c>
      <c r="D20" s="90">
        <v>2220</v>
      </c>
      <c r="E20" s="90">
        <v>884.52</v>
      </c>
      <c r="F20" s="90" t="s">
        <v>701</v>
      </c>
      <c r="G20" s="12" t="s">
        <v>1179</v>
      </c>
      <c r="H20" s="17"/>
    </row>
    <row r="21" spans="1:10" ht="78.75" x14ac:dyDescent="0.2">
      <c r="A21" s="92" t="s">
        <v>1269</v>
      </c>
      <c r="B21" s="89" t="s">
        <v>1102</v>
      </c>
      <c r="C21" s="89" t="s">
        <v>1111</v>
      </c>
      <c r="D21" s="90">
        <v>2220</v>
      </c>
      <c r="E21" s="93">
        <v>1836.6</v>
      </c>
      <c r="F21" s="90" t="s">
        <v>701</v>
      </c>
      <c r="G21" s="12" t="s">
        <v>1179</v>
      </c>
      <c r="H21" s="17"/>
    </row>
    <row r="22" spans="1:10" ht="78.75" x14ac:dyDescent="0.2">
      <c r="A22" s="92" t="s">
        <v>1270</v>
      </c>
      <c r="B22" s="89" t="s">
        <v>1106</v>
      </c>
      <c r="C22" s="89" t="s">
        <v>1111</v>
      </c>
      <c r="D22" s="90">
        <v>2220</v>
      </c>
      <c r="E22" s="93">
        <v>2900</v>
      </c>
      <c r="F22" s="90" t="s">
        <v>701</v>
      </c>
      <c r="G22" s="12" t="s">
        <v>1179</v>
      </c>
      <c r="H22" s="17"/>
    </row>
    <row r="23" spans="1:10" ht="94.5" x14ac:dyDescent="0.2">
      <c r="A23" s="92" t="s">
        <v>1271</v>
      </c>
      <c r="B23" s="89" t="s">
        <v>1259</v>
      </c>
      <c r="C23" s="89" t="s">
        <v>1111</v>
      </c>
      <c r="D23" s="90">
        <v>2220</v>
      </c>
      <c r="E23" s="102">
        <v>547.1</v>
      </c>
      <c r="F23" s="90" t="s">
        <v>701</v>
      </c>
      <c r="G23" s="12" t="s">
        <v>1179</v>
      </c>
      <c r="H23" s="17"/>
    </row>
    <row r="24" spans="1:10" ht="110.25" x14ac:dyDescent="0.2">
      <c r="A24" s="92" t="s">
        <v>1272</v>
      </c>
      <c r="B24" s="89" t="s">
        <v>1273</v>
      </c>
      <c r="C24" s="89" t="s">
        <v>1114</v>
      </c>
      <c r="D24" s="90">
        <v>2220</v>
      </c>
      <c r="E24" s="102">
        <v>978</v>
      </c>
      <c r="F24" s="90" t="s">
        <v>701</v>
      </c>
      <c r="G24" s="12" t="s">
        <v>1179</v>
      </c>
      <c r="H24" s="22"/>
      <c r="I24" s="24"/>
      <c r="J24" s="24"/>
    </row>
    <row r="25" spans="1:10" ht="47.25" x14ac:dyDescent="0.2">
      <c r="A25" s="92" t="s">
        <v>1274</v>
      </c>
      <c r="B25" s="89" t="s">
        <v>1104</v>
      </c>
      <c r="C25" s="89" t="s">
        <v>1275</v>
      </c>
      <c r="D25" s="90">
        <v>2220</v>
      </c>
      <c r="E25" s="102">
        <v>680</v>
      </c>
      <c r="F25" s="90" t="s">
        <v>768</v>
      </c>
      <c r="G25" s="12" t="s">
        <v>1179</v>
      </c>
      <c r="H25" s="22"/>
      <c r="I25" s="24"/>
      <c r="J25" s="24"/>
    </row>
    <row r="26" spans="1:10" ht="78.75" x14ac:dyDescent="0.2">
      <c r="A26" s="92" t="s">
        <v>1276</v>
      </c>
      <c r="B26" s="89" t="s">
        <v>1246</v>
      </c>
      <c r="C26" s="89" t="s">
        <v>1247</v>
      </c>
      <c r="D26" s="90">
        <v>2240</v>
      </c>
      <c r="E26" s="93">
        <v>2083.9699999999998</v>
      </c>
      <c r="F26" s="90" t="s">
        <v>701</v>
      </c>
      <c r="G26" s="12" t="s">
        <v>1179</v>
      </c>
      <c r="H26" s="22"/>
      <c r="I26" s="24"/>
      <c r="J26" s="24"/>
    </row>
    <row r="27" spans="1:10" ht="70.5" customHeight="1" x14ac:dyDescent="0.2">
      <c r="A27" s="92" t="s">
        <v>1277</v>
      </c>
      <c r="B27" s="89" t="s">
        <v>1278</v>
      </c>
      <c r="C27" s="89" t="s">
        <v>1279</v>
      </c>
      <c r="D27" s="90">
        <v>2220</v>
      </c>
      <c r="E27" s="93">
        <v>1772.4</v>
      </c>
      <c r="F27" s="90" t="s">
        <v>701</v>
      </c>
      <c r="G27" s="12" t="s">
        <v>1179</v>
      </c>
      <c r="H27" s="22"/>
      <c r="I27" s="24"/>
      <c r="J27" s="24"/>
    </row>
    <row r="28" spans="1:10" ht="362.25" x14ac:dyDescent="0.2">
      <c r="A28" s="92" t="s">
        <v>1280</v>
      </c>
      <c r="B28" s="89" t="s">
        <v>1104</v>
      </c>
      <c r="C28" s="89" t="s">
        <v>1257</v>
      </c>
      <c r="D28" s="90">
        <v>2220</v>
      </c>
      <c r="E28" s="93">
        <v>10954</v>
      </c>
      <c r="F28" s="90" t="s">
        <v>768</v>
      </c>
      <c r="G28" s="12" t="s">
        <v>1179</v>
      </c>
      <c r="H28" s="22"/>
      <c r="I28" s="24"/>
      <c r="J28" s="24"/>
    </row>
    <row r="29" spans="1:10" ht="375" x14ac:dyDescent="0.2">
      <c r="A29" s="105" t="s">
        <v>1281</v>
      </c>
      <c r="B29" s="89" t="s">
        <v>1282</v>
      </c>
      <c r="C29" s="89" t="s">
        <v>1283</v>
      </c>
      <c r="D29" s="90">
        <v>2220</v>
      </c>
      <c r="E29" s="93">
        <v>40975.65</v>
      </c>
      <c r="F29" s="90" t="s">
        <v>768</v>
      </c>
      <c r="G29" s="12" t="s">
        <v>1179</v>
      </c>
      <c r="H29" s="58"/>
      <c r="I29" s="24"/>
      <c r="J29" s="24"/>
    </row>
    <row r="30" spans="1:10" ht="141.75" x14ac:dyDescent="0.2">
      <c r="A30" s="92" t="s">
        <v>1287</v>
      </c>
      <c r="B30" s="89" t="s">
        <v>1147</v>
      </c>
      <c r="C30" s="89" t="s">
        <v>1295</v>
      </c>
      <c r="D30" s="90">
        <v>2240</v>
      </c>
      <c r="E30" s="102">
        <v>4785.6000000000004</v>
      </c>
      <c r="F30" s="90" t="s">
        <v>768</v>
      </c>
      <c r="G30" s="12" t="s">
        <v>1179</v>
      </c>
      <c r="H30" s="17"/>
      <c r="I30" s="132"/>
      <c r="J30" s="133"/>
    </row>
    <row r="31" spans="1:10" ht="101.25" customHeight="1" x14ac:dyDescent="0.2">
      <c r="A31" s="92" t="s">
        <v>1288</v>
      </c>
      <c r="B31" s="89" t="s">
        <v>1296</v>
      </c>
      <c r="C31" s="89" t="s">
        <v>1301</v>
      </c>
      <c r="D31" s="90">
        <v>2220</v>
      </c>
      <c r="E31" s="102">
        <v>7452.18</v>
      </c>
      <c r="F31" s="90" t="s">
        <v>768</v>
      </c>
      <c r="G31" s="12" t="s">
        <v>1179</v>
      </c>
      <c r="H31" s="22"/>
      <c r="I31" s="24"/>
      <c r="J31" s="133"/>
    </row>
    <row r="32" spans="1:10" ht="110.25" x14ac:dyDescent="0.2">
      <c r="A32" s="92" t="s">
        <v>1289</v>
      </c>
      <c r="B32" s="89" t="s">
        <v>1296</v>
      </c>
      <c r="C32" s="89" t="s">
        <v>1302</v>
      </c>
      <c r="D32" s="90">
        <v>2220</v>
      </c>
      <c r="E32" s="102">
        <v>16785.689999999999</v>
      </c>
      <c r="F32" s="90" t="s">
        <v>768</v>
      </c>
      <c r="G32" s="12" t="s">
        <v>1179</v>
      </c>
      <c r="H32" s="22"/>
      <c r="I32" s="24"/>
      <c r="J32" s="133"/>
    </row>
    <row r="33" spans="1:12" ht="62.25" customHeight="1" x14ac:dyDescent="0.2">
      <c r="A33" s="92" t="s">
        <v>1290</v>
      </c>
      <c r="B33" s="89" t="s">
        <v>1297</v>
      </c>
      <c r="C33" s="89" t="s">
        <v>1303</v>
      </c>
      <c r="D33" s="90">
        <v>2220</v>
      </c>
      <c r="E33" s="102">
        <v>368.25</v>
      </c>
      <c r="F33" s="90" t="s">
        <v>701</v>
      </c>
      <c r="G33" s="12" t="s">
        <v>1179</v>
      </c>
      <c r="H33" s="22"/>
      <c r="I33" s="24"/>
      <c r="J33" s="133"/>
    </row>
    <row r="34" spans="1:12" ht="62.25" customHeight="1" x14ac:dyDescent="0.2">
      <c r="A34" s="92" t="s">
        <v>1291</v>
      </c>
      <c r="B34" s="89" t="s">
        <v>1296</v>
      </c>
      <c r="C34" s="89" t="s">
        <v>1304</v>
      </c>
      <c r="D34" s="90">
        <v>2220</v>
      </c>
      <c r="E34" s="102">
        <v>774.81</v>
      </c>
      <c r="F34" s="90" t="s">
        <v>768</v>
      </c>
      <c r="G34" s="12" t="s">
        <v>1179</v>
      </c>
      <c r="H34" s="22"/>
      <c r="I34" s="24"/>
      <c r="J34" s="133"/>
    </row>
    <row r="35" spans="1:12" ht="78.75" x14ac:dyDescent="0.2">
      <c r="A35" s="92" t="s">
        <v>1292</v>
      </c>
      <c r="B35" s="89" t="s">
        <v>1298</v>
      </c>
      <c r="C35" s="89" t="s">
        <v>1305</v>
      </c>
      <c r="D35" s="90">
        <v>2220</v>
      </c>
      <c r="E35" s="102">
        <v>955.04</v>
      </c>
      <c r="F35" s="90" t="s">
        <v>768</v>
      </c>
      <c r="G35" s="12" t="s">
        <v>1179</v>
      </c>
      <c r="H35" s="22"/>
      <c r="I35" s="24"/>
      <c r="J35" s="133"/>
    </row>
    <row r="36" spans="1:12" ht="78.75" x14ac:dyDescent="0.2">
      <c r="A36" s="92" t="s">
        <v>1293</v>
      </c>
      <c r="B36" s="89" t="s">
        <v>1298</v>
      </c>
      <c r="C36" s="89" t="s">
        <v>1305</v>
      </c>
      <c r="D36" s="90">
        <v>2220</v>
      </c>
      <c r="E36" s="102">
        <v>4920.93</v>
      </c>
      <c r="F36" s="90" t="s">
        <v>768</v>
      </c>
      <c r="G36" s="12" t="s">
        <v>1179</v>
      </c>
      <c r="H36" s="22"/>
      <c r="I36" s="24"/>
      <c r="J36" s="133"/>
    </row>
    <row r="37" spans="1:12" ht="67.5" customHeight="1" x14ac:dyDescent="0.2">
      <c r="A37" s="92" t="s">
        <v>1294</v>
      </c>
      <c r="B37" s="89" t="s">
        <v>1299</v>
      </c>
      <c r="C37" s="89" t="s">
        <v>1306</v>
      </c>
      <c r="D37" s="90">
        <v>2240</v>
      </c>
      <c r="E37" s="102">
        <v>5301.24</v>
      </c>
      <c r="F37" s="90" t="s">
        <v>768</v>
      </c>
      <c r="G37" s="12" t="s">
        <v>1179</v>
      </c>
      <c r="H37" s="58"/>
      <c r="I37" s="24"/>
      <c r="J37" s="133"/>
    </row>
    <row r="38" spans="1:12" ht="126" x14ac:dyDescent="0.2">
      <c r="A38" s="92" t="s">
        <v>872</v>
      </c>
      <c r="B38" s="89" t="s">
        <v>1300</v>
      </c>
      <c r="C38" s="89" t="s">
        <v>1307</v>
      </c>
      <c r="D38" s="90">
        <v>2240</v>
      </c>
      <c r="E38" s="102">
        <v>6020</v>
      </c>
      <c r="F38" s="90" t="s">
        <v>701</v>
      </c>
      <c r="G38" s="12" t="s">
        <v>828</v>
      </c>
      <c r="H38" s="121" t="s">
        <v>889</v>
      </c>
      <c r="I38" s="24"/>
      <c r="J38" s="24"/>
    </row>
    <row r="39" spans="1:12" ht="20.25" customHeight="1" thickBot="1" x14ac:dyDescent="0.25">
      <c r="A39" s="139" t="s">
        <v>1284</v>
      </c>
      <c r="B39" s="140"/>
      <c r="C39" s="140"/>
      <c r="D39" s="140"/>
      <c r="E39" s="140"/>
      <c r="F39" s="141"/>
      <c r="G39" s="141"/>
      <c r="H39" s="142"/>
      <c r="J39" s="24"/>
    </row>
    <row r="40" spans="1:12" ht="38.25" customHeight="1" x14ac:dyDescent="0.25">
      <c r="A40" s="66"/>
      <c r="B40" s="77"/>
      <c r="C40" s="66"/>
      <c r="D40" s="106"/>
      <c r="E40" s="4"/>
      <c r="F40" s="4"/>
      <c r="G40" s="4"/>
      <c r="H40" s="65"/>
    </row>
    <row r="41" spans="1:12" s="5" customFormat="1" ht="38.25" customHeight="1" x14ac:dyDescent="0.2">
      <c r="A41" s="3"/>
      <c r="B41" s="78"/>
      <c r="C41" s="3"/>
      <c r="E41" s="75"/>
      <c r="G41" s="3"/>
      <c r="H41" s="3"/>
      <c r="I41" s="3"/>
      <c r="J41" s="3"/>
      <c r="K41" s="3"/>
      <c r="L41" s="3"/>
    </row>
    <row r="42" spans="1:12" s="5" customFormat="1" ht="38.25" customHeight="1" x14ac:dyDescent="0.2">
      <c r="A42" s="3"/>
      <c r="B42" s="78"/>
      <c r="C42" s="95"/>
      <c r="E42" s="75"/>
      <c r="G42" s="3"/>
      <c r="H42" s="3"/>
      <c r="I42" s="3"/>
      <c r="J42" s="3"/>
      <c r="K42" s="3"/>
      <c r="L42" s="3"/>
    </row>
    <row r="43" spans="1:12" s="5" customFormat="1" ht="38.25" customHeight="1" x14ac:dyDescent="0.2">
      <c r="A43" s="3"/>
      <c r="B43" s="78"/>
      <c r="E43" s="75"/>
      <c r="G43" s="3"/>
      <c r="H43" s="3"/>
      <c r="I43" s="3"/>
      <c r="J43" s="3"/>
      <c r="K43" s="3"/>
      <c r="L43" s="3"/>
    </row>
    <row r="44" spans="1:12" s="5" customFormat="1" ht="38.25" customHeight="1" x14ac:dyDescent="0.2">
      <c r="A44" s="3"/>
      <c r="B44" s="78"/>
      <c r="E44" s="75"/>
      <c r="G44" s="3"/>
      <c r="H44" s="3"/>
      <c r="I44" s="3"/>
      <c r="J44" s="3"/>
      <c r="K44" s="3"/>
      <c r="L44" s="3"/>
    </row>
    <row r="52" spans="1:12" s="5" customFormat="1" ht="38.25" customHeight="1" x14ac:dyDescent="0.2">
      <c r="A52" s="3"/>
      <c r="B52" s="78"/>
      <c r="C52" s="95"/>
      <c r="E52" s="75"/>
      <c r="G52" s="3"/>
      <c r="H52" s="3"/>
      <c r="I52" s="3"/>
      <c r="J52" s="3"/>
      <c r="K52" s="3"/>
      <c r="L52" s="3"/>
    </row>
    <row r="53" spans="1:12" s="5" customFormat="1" ht="38.25" customHeight="1" x14ac:dyDescent="0.2">
      <c r="A53" s="3"/>
      <c r="B53" s="78"/>
      <c r="C53" s="95"/>
      <c r="E53" s="75"/>
      <c r="G53" s="3"/>
      <c r="H53" s="3"/>
      <c r="I53" s="3"/>
      <c r="J53" s="3"/>
      <c r="K53" s="3"/>
      <c r="L53" s="3"/>
    </row>
    <row r="54" spans="1:12" s="5" customFormat="1" ht="38.25" customHeight="1" x14ac:dyDescent="0.2">
      <c r="A54" s="3"/>
      <c r="B54" s="78"/>
      <c r="C54" s="95"/>
      <c r="E54" s="75"/>
      <c r="G54" s="3"/>
      <c r="H54" s="3"/>
      <c r="I54" s="3"/>
      <c r="J54" s="3"/>
      <c r="K54" s="3"/>
      <c r="L54" s="3"/>
    </row>
    <row r="55" spans="1:12" s="5" customFormat="1" ht="38.25" customHeight="1" x14ac:dyDescent="0.2">
      <c r="A55" s="3"/>
      <c r="B55" s="78"/>
      <c r="C55" s="95"/>
      <c r="E55" s="75"/>
      <c r="G55" s="3"/>
      <c r="H55" s="3"/>
      <c r="I55" s="3"/>
      <c r="J55" s="3"/>
      <c r="K55" s="3"/>
      <c r="L55" s="3"/>
    </row>
    <row r="56" spans="1:12" s="5" customFormat="1" ht="38.25" customHeight="1" x14ac:dyDescent="0.2">
      <c r="A56" s="3"/>
      <c r="B56" s="78"/>
      <c r="C56" s="95"/>
      <c r="E56" s="75"/>
      <c r="G56" s="3"/>
      <c r="H56" s="3"/>
      <c r="I56" s="3"/>
      <c r="J56" s="3"/>
      <c r="K56" s="3"/>
      <c r="L56" s="3"/>
    </row>
    <row r="57" spans="1:12" s="5" customFormat="1" ht="38.25" customHeight="1" x14ac:dyDescent="0.2">
      <c r="A57" s="3"/>
      <c r="B57" s="78"/>
      <c r="C57" s="95"/>
      <c r="E57" s="75"/>
      <c r="G57" s="3"/>
      <c r="H57" s="3"/>
      <c r="I57" s="3"/>
      <c r="J57" s="3"/>
      <c r="K57" s="3"/>
      <c r="L57" s="3"/>
    </row>
    <row r="58" spans="1:12" s="5" customFormat="1" ht="38.25" customHeight="1" x14ac:dyDescent="0.2">
      <c r="A58" s="3"/>
      <c r="B58" s="78"/>
      <c r="C58" s="95"/>
      <c r="E58" s="75"/>
      <c r="G58" s="3"/>
      <c r="H58" s="3"/>
      <c r="I58" s="3"/>
      <c r="J58" s="3"/>
      <c r="K58" s="3"/>
      <c r="L58" s="3"/>
    </row>
    <row r="59" spans="1:12" s="5" customFormat="1" ht="38.25" customHeight="1" x14ac:dyDescent="0.2">
      <c r="A59" s="3"/>
      <c r="B59" s="78"/>
      <c r="C59" s="95"/>
      <c r="E59" s="75"/>
      <c r="G59" s="3"/>
      <c r="H59" s="3"/>
      <c r="I59" s="3"/>
      <c r="J59" s="3"/>
      <c r="K59" s="3"/>
      <c r="L59" s="3"/>
    </row>
  </sheetData>
  <mergeCells count="14">
    <mergeCell ref="H4:H5"/>
    <mergeCell ref="I5:I6"/>
    <mergeCell ref="A7:D7"/>
    <mergeCell ref="A39:H39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view="pageBreakPreview" zoomScaleNormal="100" zoomScaleSheetLayoutView="100" workbookViewId="0">
      <selection activeCell="C8" sqref="C8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96">
        <v>1</v>
      </c>
      <c r="B6" s="76">
        <v>2</v>
      </c>
      <c r="C6" s="97">
        <v>3</v>
      </c>
      <c r="D6" s="76">
        <v>4</v>
      </c>
      <c r="E6" s="97">
        <v>5</v>
      </c>
      <c r="F6" s="76">
        <v>6</v>
      </c>
      <c r="G6" s="97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255" x14ac:dyDescent="0.2">
      <c r="A8" s="105" t="s">
        <v>1014</v>
      </c>
      <c r="B8" s="91" t="s">
        <v>1004</v>
      </c>
      <c r="C8" s="89" t="s">
        <v>984</v>
      </c>
      <c r="D8" s="21">
        <v>2220</v>
      </c>
      <c r="E8" s="12">
        <v>5332.27</v>
      </c>
      <c r="F8" s="12" t="s">
        <v>768</v>
      </c>
      <c r="G8" s="12" t="s">
        <v>893</v>
      </c>
      <c r="H8" s="58"/>
      <c r="I8" s="24"/>
      <c r="J8" s="24"/>
    </row>
    <row r="9" spans="1:10" ht="121.5" customHeight="1" x14ac:dyDescent="0.2">
      <c r="A9" s="105" t="s">
        <v>1015</v>
      </c>
      <c r="B9" s="91" t="s">
        <v>1004</v>
      </c>
      <c r="C9" s="89" t="s">
        <v>985</v>
      </c>
      <c r="D9" s="21">
        <v>2220</v>
      </c>
      <c r="E9" s="12">
        <v>1399.16</v>
      </c>
      <c r="F9" s="12" t="s">
        <v>768</v>
      </c>
      <c r="G9" s="12" t="s">
        <v>893</v>
      </c>
      <c r="H9" s="58"/>
      <c r="I9" s="24"/>
      <c r="J9" s="24"/>
    </row>
    <row r="10" spans="1:10" ht="150" x14ac:dyDescent="0.2">
      <c r="A10" s="105" t="s">
        <v>1016</v>
      </c>
      <c r="B10" s="91" t="s">
        <v>1004</v>
      </c>
      <c r="C10" s="89" t="s">
        <v>986</v>
      </c>
      <c r="D10" s="21">
        <v>2220</v>
      </c>
      <c r="E10" s="12">
        <v>1093.67</v>
      </c>
      <c r="F10" s="12" t="s">
        <v>768</v>
      </c>
      <c r="G10" s="12" t="s">
        <v>893</v>
      </c>
      <c r="H10" s="58"/>
      <c r="I10" s="24"/>
      <c r="J10" s="24"/>
    </row>
    <row r="11" spans="1:10" ht="225" x14ac:dyDescent="0.2">
      <c r="A11" s="105" t="s">
        <v>1017</v>
      </c>
      <c r="B11" s="91" t="s">
        <v>1004</v>
      </c>
      <c r="C11" s="89" t="s">
        <v>987</v>
      </c>
      <c r="D11" s="21">
        <v>2220</v>
      </c>
      <c r="E11" s="12">
        <v>648.58000000000004</v>
      </c>
      <c r="F11" s="12" t="s">
        <v>768</v>
      </c>
      <c r="G11" s="12" t="s">
        <v>893</v>
      </c>
      <c r="H11" s="58"/>
      <c r="I11" s="24"/>
      <c r="J11" s="24"/>
    </row>
    <row r="12" spans="1:10" ht="409.5" x14ac:dyDescent="0.2">
      <c r="A12" s="105" t="s">
        <v>1018</v>
      </c>
      <c r="B12" s="91" t="s">
        <v>1004</v>
      </c>
      <c r="C12" s="89" t="s">
        <v>988</v>
      </c>
      <c r="D12" s="21">
        <v>2220</v>
      </c>
      <c r="E12" s="12">
        <v>13327</v>
      </c>
      <c r="F12" s="12" t="s">
        <v>768</v>
      </c>
      <c r="G12" s="12" t="s">
        <v>893</v>
      </c>
      <c r="H12" s="58"/>
      <c r="I12" s="24"/>
      <c r="J12" s="24"/>
    </row>
    <row r="13" spans="1:10" ht="121.5" customHeight="1" x14ac:dyDescent="0.2">
      <c r="A13" s="105" t="s">
        <v>1019</v>
      </c>
      <c r="B13" s="91" t="s">
        <v>1004</v>
      </c>
      <c r="C13" s="89" t="s">
        <v>989</v>
      </c>
      <c r="D13" s="21">
        <v>2220</v>
      </c>
      <c r="E13" s="12">
        <v>1681.28</v>
      </c>
      <c r="F13" s="12" t="s">
        <v>768</v>
      </c>
      <c r="G13" s="12" t="s">
        <v>893</v>
      </c>
      <c r="H13" s="58"/>
      <c r="I13" s="24"/>
      <c r="J13" s="24"/>
    </row>
    <row r="14" spans="1:10" ht="90" x14ac:dyDescent="0.2">
      <c r="A14" s="105" t="s">
        <v>1020</v>
      </c>
      <c r="B14" s="91" t="s">
        <v>1004</v>
      </c>
      <c r="C14" s="89" t="s">
        <v>990</v>
      </c>
      <c r="D14" s="21">
        <v>2220</v>
      </c>
      <c r="E14" s="12">
        <v>1778.41</v>
      </c>
      <c r="F14" s="12" t="s">
        <v>768</v>
      </c>
      <c r="G14" s="12" t="s">
        <v>893</v>
      </c>
      <c r="H14" s="58"/>
      <c r="I14" s="24"/>
      <c r="J14" s="24"/>
    </row>
    <row r="15" spans="1:10" ht="45" x14ac:dyDescent="0.2">
      <c r="A15" s="105" t="s">
        <v>1021</v>
      </c>
      <c r="B15" s="91" t="s">
        <v>1004</v>
      </c>
      <c r="C15" s="89" t="s">
        <v>991</v>
      </c>
      <c r="D15" s="21">
        <v>2220</v>
      </c>
      <c r="E15" s="12">
        <v>55.05</v>
      </c>
      <c r="F15" s="12" t="s">
        <v>768</v>
      </c>
      <c r="G15" s="12" t="s">
        <v>893</v>
      </c>
      <c r="H15" s="58"/>
      <c r="I15" s="24"/>
      <c r="J15" s="24"/>
    </row>
    <row r="16" spans="1:10" ht="78.75" x14ac:dyDescent="0.2">
      <c r="A16" s="105" t="s">
        <v>1022</v>
      </c>
      <c r="B16" s="91" t="s">
        <v>1005</v>
      </c>
      <c r="C16" s="89" t="s">
        <v>984</v>
      </c>
      <c r="D16" s="21">
        <v>2220</v>
      </c>
      <c r="E16" s="12">
        <v>3827.26</v>
      </c>
      <c r="F16" s="90" t="s">
        <v>701</v>
      </c>
      <c r="G16" s="12" t="s">
        <v>893</v>
      </c>
      <c r="H16" s="58"/>
      <c r="I16" s="24"/>
      <c r="J16" s="24"/>
    </row>
    <row r="17" spans="1:10" ht="90" x14ac:dyDescent="0.2">
      <c r="A17" s="105" t="s">
        <v>1023</v>
      </c>
      <c r="B17" s="91" t="s">
        <v>1005</v>
      </c>
      <c r="C17" s="89" t="s">
        <v>992</v>
      </c>
      <c r="D17" s="21">
        <v>2220</v>
      </c>
      <c r="E17" s="12">
        <v>1915.94</v>
      </c>
      <c r="F17" s="90" t="s">
        <v>701</v>
      </c>
      <c r="G17" s="12" t="s">
        <v>893</v>
      </c>
      <c r="H17" s="58"/>
      <c r="I17" s="24"/>
      <c r="J17" s="24"/>
    </row>
    <row r="18" spans="1:10" ht="150" x14ac:dyDescent="0.2">
      <c r="A18" s="105" t="s">
        <v>1024</v>
      </c>
      <c r="B18" s="91" t="s">
        <v>1006</v>
      </c>
      <c r="C18" s="89" t="s">
        <v>993</v>
      </c>
      <c r="D18" s="21">
        <v>2220</v>
      </c>
      <c r="E18" s="12">
        <v>6346.83</v>
      </c>
      <c r="F18" s="90" t="s">
        <v>701</v>
      </c>
      <c r="G18" s="12" t="s">
        <v>893</v>
      </c>
      <c r="H18" s="58"/>
      <c r="I18" s="24"/>
      <c r="J18" s="24"/>
    </row>
    <row r="19" spans="1:10" ht="210" x14ac:dyDescent="0.2">
      <c r="A19" s="105" t="s">
        <v>1025</v>
      </c>
      <c r="B19" s="91" t="s">
        <v>1006</v>
      </c>
      <c r="C19" s="89" t="s">
        <v>994</v>
      </c>
      <c r="D19" s="21">
        <v>2220</v>
      </c>
      <c r="E19" s="12">
        <v>1038.73</v>
      </c>
      <c r="F19" s="90" t="s">
        <v>701</v>
      </c>
      <c r="G19" s="12" t="s">
        <v>893</v>
      </c>
      <c r="H19" s="58"/>
      <c r="I19" s="24"/>
      <c r="J19" s="24"/>
    </row>
    <row r="20" spans="1:10" ht="375" x14ac:dyDescent="0.2">
      <c r="A20" s="105" t="s">
        <v>1026</v>
      </c>
      <c r="B20" s="91" t="s">
        <v>1006</v>
      </c>
      <c r="C20" s="89" t="s">
        <v>984</v>
      </c>
      <c r="D20" s="21">
        <v>2220</v>
      </c>
      <c r="E20" s="12">
        <v>7971.2</v>
      </c>
      <c r="F20" s="90" t="s">
        <v>701</v>
      </c>
      <c r="G20" s="12" t="s">
        <v>893</v>
      </c>
      <c r="H20" s="58"/>
      <c r="I20" s="24"/>
      <c r="J20" s="24"/>
    </row>
    <row r="21" spans="1:10" ht="121.5" customHeight="1" x14ac:dyDescent="0.2">
      <c r="A21" s="105" t="s">
        <v>1027</v>
      </c>
      <c r="B21" s="91" t="s">
        <v>1006</v>
      </c>
      <c r="C21" s="89" t="s">
        <v>986</v>
      </c>
      <c r="D21" s="21">
        <v>2220</v>
      </c>
      <c r="E21" s="12">
        <v>241.39</v>
      </c>
      <c r="F21" s="90" t="s">
        <v>701</v>
      </c>
      <c r="G21" s="12" t="s">
        <v>893</v>
      </c>
      <c r="H21" s="58"/>
      <c r="I21" s="24"/>
      <c r="J21" s="24"/>
    </row>
    <row r="22" spans="1:10" ht="78.75" x14ac:dyDescent="0.2">
      <c r="A22" s="105" t="s">
        <v>1028</v>
      </c>
      <c r="B22" s="91" t="s">
        <v>1006</v>
      </c>
      <c r="C22" s="89" t="s">
        <v>995</v>
      </c>
      <c r="D22" s="21">
        <v>2220</v>
      </c>
      <c r="E22" s="12">
        <v>66.290000000000006</v>
      </c>
      <c r="F22" s="90" t="s">
        <v>701</v>
      </c>
      <c r="G22" s="12" t="s">
        <v>893</v>
      </c>
      <c r="H22" s="58"/>
      <c r="I22" s="24"/>
      <c r="J22" s="24"/>
    </row>
    <row r="23" spans="1:10" ht="90" x14ac:dyDescent="0.2">
      <c r="A23" s="105" t="s">
        <v>1029</v>
      </c>
      <c r="B23" s="91" t="s">
        <v>1006</v>
      </c>
      <c r="C23" s="89" t="s">
        <v>988</v>
      </c>
      <c r="D23" s="21">
        <v>2220</v>
      </c>
      <c r="E23" s="12">
        <v>1269.02</v>
      </c>
      <c r="F23" s="90" t="s">
        <v>701</v>
      </c>
      <c r="G23" s="12" t="s">
        <v>893</v>
      </c>
      <c r="H23" s="58"/>
      <c r="I23" s="24"/>
      <c r="J23" s="24"/>
    </row>
    <row r="24" spans="1:10" ht="157.5" x14ac:dyDescent="0.2">
      <c r="A24" s="105" t="s">
        <v>1030</v>
      </c>
      <c r="B24" s="91" t="s">
        <v>1007</v>
      </c>
      <c r="C24" s="89" t="s">
        <v>988</v>
      </c>
      <c r="D24" s="21">
        <v>2220</v>
      </c>
      <c r="E24" s="12">
        <v>860.72</v>
      </c>
      <c r="F24" s="90" t="s">
        <v>701</v>
      </c>
      <c r="G24" s="12" t="s">
        <v>893</v>
      </c>
      <c r="H24" s="58"/>
      <c r="I24" s="24"/>
      <c r="J24" s="24"/>
    </row>
    <row r="25" spans="1:10" ht="157.5" x14ac:dyDescent="0.2">
      <c r="A25" s="105" t="s">
        <v>1031</v>
      </c>
      <c r="B25" s="91" t="s">
        <v>1007</v>
      </c>
      <c r="C25" s="89" t="s">
        <v>996</v>
      </c>
      <c r="D25" s="21">
        <v>2220</v>
      </c>
      <c r="E25" s="12">
        <v>1272.44</v>
      </c>
      <c r="F25" s="90" t="s">
        <v>701</v>
      </c>
      <c r="G25" s="12" t="s">
        <v>893</v>
      </c>
      <c r="H25" s="58"/>
      <c r="I25" s="24"/>
      <c r="J25" s="24"/>
    </row>
    <row r="26" spans="1:10" ht="157.5" x14ac:dyDescent="0.2">
      <c r="A26" s="105" t="s">
        <v>1032</v>
      </c>
      <c r="B26" s="91" t="s">
        <v>1007</v>
      </c>
      <c r="C26" s="89" t="s">
        <v>985</v>
      </c>
      <c r="D26" s="21">
        <v>2220</v>
      </c>
      <c r="E26" s="12">
        <v>556.08000000000004</v>
      </c>
      <c r="F26" s="90" t="s">
        <v>701</v>
      </c>
      <c r="G26" s="12" t="s">
        <v>893</v>
      </c>
      <c r="H26" s="58"/>
      <c r="I26" s="24"/>
      <c r="J26" s="24"/>
    </row>
    <row r="27" spans="1:10" ht="157.5" x14ac:dyDescent="0.2">
      <c r="A27" s="105" t="s">
        <v>1033</v>
      </c>
      <c r="B27" s="91" t="s">
        <v>1007</v>
      </c>
      <c r="C27" s="89" t="s">
        <v>997</v>
      </c>
      <c r="D27" s="21">
        <v>2220</v>
      </c>
      <c r="E27" s="12">
        <v>91.34</v>
      </c>
      <c r="F27" s="90" t="s">
        <v>701</v>
      </c>
      <c r="G27" s="12" t="s">
        <v>893</v>
      </c>
      <c r="H27" s="58"/>
      <c r="I27" s="24"/>
      <c r="J27" s="24"/>
    </row>
    <row r="28" spans="1:10" ht="157.5" x14ac:dyDescent="0.2">
      <c r="A28" s="105" t="s">
        <v>1034</v>
      </c>
      <c r="B28" s="91" t="s">
        <v>1007</v>
      </c>
      <c r="C28" s="89" t="s">
        <v>995</v>
      </c>
      <c r="D28" s="21">
        <v>2220</v>
      </c>
      <c r="E28" s="12">
        <v>260.11</v>
      </c>
      <c r="F28" s="90" t="s">
        <v>701</v>
      </c>
      <c r="G28" s="12" t="s">
        <v>893</v>
      </c>
      <c r="H28" s="22"/>
      <c r="I28" s="24"/>
      <c r="J28" s="24"/>
    </row>
    <row r="29" spans="1:10" ht="78.75" x14ac:dyDescent="0.2">
      <c r="A29" s="105" t="s">
        <v>1035</v>
      </c>
      <c r="B29" s="91" t="s">
        <v>1008</v>
      </c>
      <c r="C29" s="89" t="s">
        <v>995</v>
      </c>
      <c r="D29" s="21">
        <v>2220</v>
      </c>
      <c r="E29" s="12">
        <v>118.61</v>
      </c>
      <c r="F29" s="90" t="s">
        <v>701</v>
      </c>
      <c r="G29" s="12" t="s">
        <v>893</v>
      </c>
      <c r="H29" s="22"/>
      <c r="I29" s="24"/>
      <c r="J29" s="24"/>
    </row>
    <row r="30" spans="1:10" ht="240" x14ac:dyDescent="0.2">
      <c r="A30" s="105" t="s">
        <v>1036</v>
      </c>
      <c r="B30" s="91" t="s">
        <v>1008</v>
      </c>
      <c r="C30" s="89" t="s">
        <v>988</v>
      </c>
      <c r="D30" s="21">
        <v>2220</v>
      </c>
      <c r="E30" s="12">
        <v>4021.42</v>
      </c>
      <c r="F30" s="90" t="s">
        <v>701</v>
      </c>
      <c r="G30" s="12" t="s">
        <v>893</v>
      </c>
      <c r="H30" s="22"/>
      <c r="I30" s="24"/>
      <c r="J30" s="24"/>
    </row>
    <row r="31" spans="1:10" ht="135" x14ac:dyDescent="0.2">
      <c r="A31" s="105" t="s">
        <v>1037</v>
      </c>
      <c r="B31" s="91" t="s">
        <v>1008</v>
      </c>
      <c r="C31" s="89" t="s">
        <v>984</v>
      </c>
      <c r="D31" s="21">
        <v>2220</v>
      </c>
      <c r="E31" s="12">
        <v>6559.67</v>
      </c>
      <c r="F31" s="90" t="s">
        <v>701</v>
      </c>
      <c r="G31" s="12" t="s">
        <v>893</v>
      </c>
      <c r="H31" s="22"/>
      <c r="I31" s="24"/>
      <c r="J31" s="24"/>
    </row>
    <row r="32" spans="1:10" ht="78.75" x14ac:dyDescent="0.2">
      <c r="A32" s="105" t="s">
        <v>1038</v>
      </c>
      <c r="B32" s="91" t="s">
        <v>1008</v>
      </c>
      <c r="C32" s="89" t="s">
        <v>989</v>
      </c>
      <c r="D32" s="21">
        <v>2220</v>
      </c>
      <c r="E32" s="12">
        <v>138.19999999999999</v>
      </c>
      <c r="F32" s="90" t="s">
        <v>701</v>
      </c>
      <c r="G32" s="12" t="s">
        <v>893</v>
      </c>
      <c r="H32" s="22"/>
      <c r="I32" s="24"/>
      <c r="J32" s="24"/>
    </row>
    <row r="33" spans="1:12" ht="78.75" x14ac:dyDescent="0.2">
      <c r="A33" s="105" t="s">
        <v>1039</v>
      </c>
      <c r="B33" s="91" t="s">
        <v>1008</v>
      </c>
      <c r="C33" s="89" t="s">
        <v>991</v>
      </c>
      <c r="D33" s="21">
        <v>2220</v>
      </c>
      <c r="E33" s="12">
        <v>269.85000000000002</v>
      </c>
      <c r="F33" s="90" t="s">
        <v>701</v>
      </c>
      <c r="G33" s="12" t="s">
        <v>893</v>
      </c>
      <c r="H33" s="22"/>
      <c r="I33" s="24"/>
      <c r="J33" s="24"/>
    </row>
    <row r="34" spans="1:12" ht="62.25" customHeight="1" x14ac:dyDescent="0.2">
      <c r="A34" s="105" t="s">
        <v>1040</v>
      </c>
      <c r="B34" s="91" t="s">
        <v>1009</v>
      </c>
      <c r="C34" s="89" t="s">
        <v>998</v>
      </c>
      <c r="D34" s="21">
        <v>2210</v>
      </c>
      <c r="E34" s="12">
        <v>1268</v>
      </c>
      <c r="F34" s="90" t="s">
        <v>701</v>
      </c>
      <c r="G34" s="12" t="s">
        <v>893</v>
      </c>
      <c r="H34" s="22"/>
      <c r="I34" s="24"/>
      <c r="J34" s="24"/>
    </row>
    <row r="35" spans="1:12" ht="62.25" customHeight="1" x14ac:dyDescent="0.2">
      <c r="A35" s="105" t="s">
        <v>1041</v>
      </c>
      <c r="B35" s="91" t="s">
        <v>1010</v>
      </c>
      <c r="C35" s="89" t="s">
        <v>999</v>
      </c>
      <c r="D35" s="21">
        <v>2210</v>
      </c>
      <c r="E35" s="12">
        <v>1267</v>
      </c>
      <c r="F35" s="90" t="s">
        <v>701</v>
      </c>
      <c r="G35" s="12" t="s">
        <v>893</v>
      </c>
      <c r="H35" s="22"/>
      <c r="I35" s="24"/>
      <c r="J35" s="24"/>
    </row>
    <row r="36" spans="1:12" ht="78.75" x14ac:dyDescent="0.2">
      <c r="A36" s="105" t="s">
        <v>1042</v>
      </c>
      <c r="B36" s="91" t="s">
        <v>1011</v>
      </c>
      <c r="C36" s="89" t="s">
        <v>1000</v>
      </c>
      <c r="D36" s="21">
        <v>2210</v>
      </c>
      <c r="E36" s="12">
        <v>352</v>
      </c>
      <c r="F36" s="90" t="s">
        <v>701</v>
      </c>
      <c r="G36" s="12" t="s">
        <v>893</v>
      </c>
      <c r="H36" s="22"/>
      <c r="I36" s="24"/>
      <c r="J36" s="24"/>
    </row>
    <row r="37" spans="1:12" ht="78.75" x14ac:dyDescent="0.2">
      <c r="A37" s="105" t="s">
        <v>1043</v>
      </c>
      <c r="B37" s="91" t="s">
        <v>1012</v>
      </c>
      <c r="C37" s="89" t="s">
        <v>1001</v>
      </c>
      <c r="D37" s="21">
        <v>2210</v>
      </c>
      <c r="E37" s="12">
        <v>300</v>
      </c>
      <c r="F37" s="90" t="s">
        <v>701</v>
      </c>
      <c r="G37" s="12" t="s">
        <v>893</v>
      </c>
      <c r="H37" s="22"/>
      <c r="I37" s="24"/>
      <c r="J37" s="24"/>
    </row>
    <row r="38" spans="1:12" ht="90" x14ac:dyDescent="0.2">
      <c r="A38" s="105" t="s">
        <v>1044</v>
      </c>
      <c r="B38" s="91" t="s">
        <v>1013</v>
      </c>
      <c r="C38" s="89" t="s">
        <v>1002</v>
      </c>
      <c r="D38" s="21">
        <v>2210</v>
      </c>
      <c r="E38" s="12">
        <v>315</v>
      </c>
      <c r="F38" s="90" t="s">
        <v>701</v>
      </c>
      <c r="G38" s="12" t="s">
        <v>893</v>
      </c>
      <c r="H38" s="22"/>
      <c r="I38" s="24"/>
      <c r="J38" s="24"/>
    </row>
    <row r="39" spans="1:12" ht="62.25" customHeight="1" x14ac:dyDescent="0.2">
      <c r="A39" s="105" t="s">
        <v>1045</v>
      </c>
      <c r="B39" s="91" t="s">
        <v>1013</v>
      </c>
      <c r="C39" s="89" t="s">
        <v>1003</v>
      </c>
      <c r="D39" s="21">
        <v>2210</v>
      </c>
      <c r="E39" s="12">
        <v>62</v>
      </c>
      <c r="F39" s="90" t="s">
        <v>701</v>
      </c>
      <c r="G39" s="12" t="s">
        <v>893</v>
      </c>
      <c r="H39" s="22"/>
      <c r="I39" s="24"/>
      <c r="J39" s="24"/>
    </row>
    <row r="40" spans="1:12" ht="20.25" customHeight="1" thickBot="1" x14ac:dyDescent="0.25">
      <c r="A40" s="152" t="s">
        <v>1098</v>
      </c>
      <c r="B40" s="153"/>
      <c r="C40" s="153"/>
      <c r="D40" s="153"/>
      <c r="E40" s="153"/>
      <c r="F40" s="154"/>
      <c r="G40" s="154"/>
      <c r="H40" s="155"/>
    </row>
    <row r="41" spans="1:12" ht="38.25" customHeight="1" x14ac:dyDescent="0.25">
      <c r="A41" s="66"/>
      <c r="B41" s="77"/>
      <c r="C41" s="66"/>
      <c r="D41" s="67"/>
      <c r="E41" s="4"/>
      <c r="F41" s="4"/>
      <c r="G41" s="4"/>
      <c r="H41" s="65"/>
    </row>
    <row r="42" spans="1:12" s="5" customFormat="1" ht="38.25" customHeight="1" x14ac:dyDescent="0.2">
      <c r="A42" s="3"/>
      <c r="B42" s="78"/>
      <c r="C42" s="3"/>
      <c r="D42" s="3"/>
      <c r="E42" s="75"/>
      <c r="F42" s="3"/>
      <c r="G42" s="3"/>
      <c r="H42" s="3"/>
      <c r="I42" s="3"/>
      <c r="J42" s="3"/>
      <c r="K42" s="3"/>
      <c r="L42" s="3"/>
    </row>
    <row r="43" spans="1:12" s="5" customFormat="1" ht="38.25" customHeight="1" x14ac:dyDescent="0.2">
      <c r="A43" s="3"/>
      <c r="B43" s="78"/>
      <c r="C43" s="95"/>
      <c r="D43" s="3"/>
      <c r="E43" s="75"/>
      <c r="F43" s="3"/>
      <c r="G43" s="3"/>
      <c r="H43" s="3"/>
      <c r="I43" s="3"/>
      <c r="J43" s="3"/>
      <c r="K43" s="3"/>
      <c r="L43" s="3"/>
    </row>
    <row r="44" spans="1:12" s="5" customFormat="1" ht="38.25" customHeight="1" x14ac:dyDescent="0.2">
      <c r="A44" s="3"/>
      <c r="B44" s="78"/>
      <c r="D44" s="3"/>
      <c r="E44" s="75"/>
      <c r="F44" s="3"/>
      <c r="G44" s="3"/>
      <c r="H44" s="3"/>
      <c r="I44" s="3"/>
      <c r="J44" s="3"/>
      <c r="K44" s="3"/>
      <c r="L44" s="3"/>
    </row>
    <row r="45" spans="1:12" s="5" customFormat="1" ht="38.25" customHeight="1" x14ac:dyDescent="0.2">
      <c r="A45" s="3"/>
      <c r="B45" s="78"/>
      <c r="D45" s="3"/>
      <c r="E45" s="75"/>
      <c r="F45" s="3"/>
      <c r="G45" s="3"/>
      <c r="H45" s="3"/>
      <c r="I45" s="3"/>
      <c r="J45" s="3"/>
      <c r="K45" s="3"/>
      <c r="L45" s="3"/>
    </row>
    <row r="53" spans="3:3" ht="38.25" customHeight="1" x14ac:dyDescent="0.2">
      <c r="C53" s="95"/>
    </row>
    <row r="54" spans="3:3" ht="38.25" customHeight="1" x14ac:dyDescent="0.2">
      <c r="C54" s="95"/>
    </row>
    <row r="55" spans="3:3" ht="38.25" customHeight="1" x14ac:dyDescent="0.2">
      <c r="C55" s="95"/>
    </row>
    <row r="56" spans="3:3" ht="38.25" customHeight="1" x14ac:dyDescent="0.2">
      <c r="C56" s="95"/>
    </row>
    <row r="57" spans="3:3" ht="38.25" customHeight="1" x14ac:dyDescent="0.2">
      <c r="C57" s="95"/>
    </row>
    <row r="58" spans="3:3" ht="38.25" customHeight="1" x14ac:dyDescent="0.2">
      <c r="C58" s="95"/>
    </row>
    <row r="59" spans="3:3" ht="38.25" customHeight="1" x14ac:dyDescent="0.2">
      <c r="C59" s="95"/>
    </row>
    <row r="60" spans="3:3" ht="38.25" customHeight="1" x14ac:dyDescent="0.2">
      <c r="C60" s="95"/>
    </row>
  </sheetData>
  <mergeCells count="14">
    <mergeCell ref="H4:H5"/>
    <mergeCell ref="I5:I6"/>
    <mergeCell ref="A7:D7"/>
    <mergeCell ref="A40:H40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4" zoomScale="106" zoomScaleNormal="100" zoomScaleSheetLayoutView="106" workbookViewId="0">
      <selection activeCell="H9" sqref="H9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17.4257812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87">
        <v>1</v>
      </c>
      <c r="B6" s="76">
        <v>2</v>
      </c>
      <c r="C6" s="88">
        <v>3</v>
      </c>
      <c r="D6" s="76">
        <v>4</v>
      </c>
      <c r="E6" s="88">
        <v>5</v>
      </c>
      <c r="F6" s="76">
        <v>6</v>
      </c>
      <c r="G6" s="88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2.25" customHeight="1" x14ac:dyDescent="0.2">
      <c r="A8" s="19" t="s">
        <v>699</v>
      </c>
      <c r="B8" s="20" t="s">
        <v>697</v>
      </c>
      <c r="C8" s="12" t="s">
        <v>698</v>
      </c>
      <c r="D8" s="21">
        <v>2210</v>
      </c>
      <c r="E8" s="12">
        <f>3148.6+3485.95</f>
        <v>6634.5499999999993</v>
      </c>
      <c r="F8" s="12" t="s">
        <v>701</v>
      </c>
      <c r="G8" s="12" t="s">
        <v>700</v>
      </c>
      <c r="H8" s="58" t="s">
        <v>889</v>
      </c>
      <c r="I8" s="24"/>
      <c r="J8" s="24"/>
    </row>
    <row r="9" spans="1:10" ht="62.25" customHeight="1" x14ac:dyDescent="0.2">
      <c r="A9" s="92" t="s">
        <v>919</v>
      </c>
      <c r="B9" s="89" t="s">
        <v>867</v>
      </c>
      <c r="C9" s="89" t="s">
        <v>868</v>
      </c>
      <c r="D9" s="21">
        <v>2240</v>
      </c>
      <c r="E9" s="90">
        <v>10634.87</v>
      </c>
      <c r="F9" s="90" t="s">
        <v>701</v>
      </c>
      <c r="G9" s="12" t="s">
        <v>893</v>
      </c>
      <c r="H9" s="58" t="s">
        <v>889</v>
      </c>
      <c r="I9" s="24"/>
      <c r="J9" s="24"/>
    </row>
    <row r="10" spans="1:10" ht="121.5" customHeight="1" x14ac:dyDescent="0.2">
      <c r="A10" s="19" t="s">
        <v>915</v>
      </c>
      <c r="B10" s="94" t="s">
        <v>926</v>
      </c>
      <c r="C10" s="94" t="s">
        <v>927</v>
      </c>
      <c r="D10" s="21">
        <v>2220</v>
      </c>
      <c r="E10" s="12">
        <v>1775.13</v>
      </c>
      <c r="F10" s="12" t="s">
        <v>768</v>
      </c>
      <c r="G10" s="12" t="s">
        <v>893</v>
      </c>
      <c r="H10" s="58" t="s">
        <v>888</v>
      </c>
      <c r="I10" s="24"/>
      <c r="J10" s="24"/>
    </row>
    <row r="11" spans="1:10" ht="110.25" x14ac:dyDescent="0.2">
      <c r="A11" s="92" t="s">
        <v>921</v>
      </c>
      <c r="B11" s="94" t="s">
        <v>924</v>
      </c>
      <c r="C11" s="94" t="s">
        <v>925</v>
      </c>
      <c r="D11" s="21">
        <v>2210</v>
      </c>
      <c r="E11" s="93">
        <v>3249.96</v>
      </c>
      <c r="F11" s="90" t="s">
        <v>701</v>
      </c>
      <c r="G11" s="12" t="s">
        <v>893</v>
      </c>
      <c r="H11" s="22"/>
      <c r="I11" s="24"/>
      <c r="J11" s="24"/>
    </row>
    <row r="12" spans="1:10" ht="110.25" x14ac:dyDescent="0.2">
      <c r="A12" s="92" t="s">
        <v>920</v>
      </c>
      <c r="B12" s="91" t="s">
        <v>922</v>
      </c>
      <c r="C12" s="89" t="s">
        <v>923</v>
      </c>
      <c r="D12" s="21">
        <v>2210</v>
      </c>
      <c r="E12" s="90">
        <v>151.91999999999999</v>
      </c>
      <c r="F12" s="90" t="s">
        <v>701</v>
      </c>
      <c r="G12" s="12" t="s">
        <v>893</v>
      </c>
      <c r="H12" s="22"/>
      <c r="I12" s="24"/>
      <c r="J12" s="24"/>
    </row>
    <row r="13" spans="1:10" ht="121.5" customHeight="1" x14ac:dyDescent="0.2">
      <c r="A13" s="92" t="s">
        <v>929</v>
      </c>
      <c r="B13" s="91" t="s">
        <v>882</v>
      </c>
      <c r="C13" s="89" t="s">
        <v>928</v>
      </c>
      <c r="D13" s="21">
        <v>2210</v>
      </c>
      <c r="E13" s="12">
        <v>45.54</v>
      </c>
      <c r="F13" s="90" t="s">
        <v>701</v>
      </c>
      <c r="G13" s="12" t="s">
        <v>893</v>
      </c>
      <c r="H13" s="58"/>
      <c r="I13" s="24"/>
      <c r="J13" s="24"/>
    </row>
    <row r="14" spans="1:10" ht="121.5" customHeight="1" x14ac:dyDescent="0.2">
      <c r="A14" s="92" t="s">
        <v>930</v>
      </c>
      <c r="B14" s="91" t="s">
        <v>931</v>
      </c>
      <c r="C14" s="89" t="s">
        <v>928</v>
      </c>
      <c r="D14" s="21">
        <v>2210</v>
      </c>
      <c r="E14" s="12">
        <v>247.68</v>
      </c>
      <c r="F14" s="90" t="s">
        <v>701</v>
      </c>
      <c r="G14" s="12" t="s">
        <v>893</v>
      </c>
      <c r="H14" s="58"/>
      <c r="I14" s="24"/>
      <c r="J14" s="24"/>
    </row>
    <row r="15" spans="1:10" ht="121.5" customHeight="1" x14ac:dyDescent="0.2">
      <c r="A15" s="92" t="s">
        <v>932</v>
      </c>
      <c r="B15" s="91" t="s">
        <v>933</v>
      </c>
      <c r="C15" s="89" t="s">
        <v>928</v>
      </c>
      <c r="D15" s="21">
        <v>2210</v>
      </c>
      <c r="E15" s="12">
        <v>46.2</v>
      </c>
      <c r="F15" s="90" t="s">
        <v>701</v>
      </c>
      <c r="G15" s="12" t="s">
        <v>893</v>
      </c>
      <c r="H15" s="58"/>
      <c r="I15" s="24"/>
      <c r="J15" s="24"/>
    </row>
    <row r="16" spans="1:10" ht="121.5" customHeight="1" x14ac:dyDescent="0.2">
      <c r="A16" s="92" t="s">
        <v>934</v>
      </c>
      <c r="B16" s="91" t="s">
        <v>935</v>
      </c>
      <c r="C16" s="89" t="s">
        <v>928</v>
      </c>
      <c r="D16" s="21">
        <v>2210</v>
      </c>
      <c r="E16" s="12">
        <v>236.7</v>
      </c>
      <c r="F16" s="90" t="s">
        <v>701</v>
      </c>
      <c r="G16" s="12" t="s">
        <v>893</v>
      </c>
      <c r="H16" s="58"/>
      <c r="I16" s="24"/>
      <c r="J16" s="24"/>
    </row>
    <row r="17" spans="1:12" ht="121.5" customHeight="1" x14ac:dyDescent="0.2">
      <c r="A17" s="92" t="s">
        <v>936</v>
      </c>
      <c r="B17" s="91" t="s">
        <v>937</v>
      </c>
      <c r="C17" s="89" t="s">
        <v>938</v>
      </c>
      <c r="D17" s="21">
        <v>2210</v>
      </c>
      <c r="E17" s="12">
        <v>210.93</v>
      </c>
      <c r="F17" s="90" t="s">
        <v>701</v>
      </c>
      <c r="G17" s="12" t="s">
        <v>893</v>
      </c>
      <c r="H17" s="58"/>
      <c r="I17" s="24"/>
      <c r="J17" s="24"/>
    </row>
    <row r="18" spans="1:12" ht="121.5" customHeight="1" x14ac:dyDescent="0.2">
      <c r="A18" s="92" t="s">
        <v>939</v>
      </c>
      <c r="B18" s="91" t="s">
        <v>940</v>
      </c>
      <c r="C18" s="89" t="s">
        <v>941</v>
      </c>
      <c r="D18" s="21">
        <v>2210</v>
      </c>
      <c r="E18" s="12">
        <v>512.70000000000005</v>
      </c>
      <c r="F18" s="90" t="s">
        <v>701</v>
      </c>
      <c r="G18" s="12" t="s">
        <v>893</v>
      </c>
      <c r="H18" s="58"/>
      <c r="I18" s="24"/>
      <c r="J18" s="24"/>
    </row>
    <row r="19" spans="1:12" ht="121.5" customHeight="1" x14ac:dyDescent="0.2">
      <c r="A19" s="92" t="s">
        <v>942</v>
      </c>
      <c r="B19" s="91" t="s">
        <v>940</v>
      </c>
      <c r="C19" s="89" t="s">
        <v>943</v>
      </c>
      <c r="D19" s="21">
        <v>2210</v>
      </c>
      <c r="E19" s="12">
        <v>41.58</v>
      </c>
      <c r="F19" s="90" t="s">
        <v>701</v>
      </c>
      <c r="G19" s="12" t="s">
        <v>893</v>
      </c>
      <c r="H19" s="58"/>
      <c r="I19" s="24"/>
      <c r="J19" s="24"/>
    </row>
    <row r="20" spans="1:12" ht="121.5" customHeight="1" x14ac:dyDescent="0.2">
      <c r="A20" s="92" t="s">
        <v>944</v>
      </c>
      <c r="B20" s="91" t="s">
        <v>945</v>
      </c>
      <c r="C20" s="89" t="s">
        <v>946</v>
      </c>
      <c r="D20" s="21">
        <v>2210</v>
      </c>
      <c r="E20" s="12">
        <v>89.72</v>
      </c>
      <c r="F20" s="90" t="s">
        <v>701</v>
      </c>
      <c r="G20" s="12" t="s">
        <v>893</v>
      </c>
      <c r="H20" s="58"/>
      <c r="I20" s="24"/>
      <c r="J20" s="24"/>
    </row>
    <row r="21" spans="1:12" ht="121.5" customHeight="1" x14ac:dyDescent="0.2">
      <c r="A21" s="92" t="s">
        <v>957</v>
      </c>
      <c r="B21" s="91" t="s">
        <v>958</v>
      </c>
      <c r="C21" s="89" t="s">
        <v>959</v>
      </c>
      <c r="D21" s="21">
        <v>2210</v>
      </c>
      <c r="E21" s="12">
        <v>33.6</v>
      </c>
      <c r="F21" s="90" t="s">
        <v>701</v>
      </c>
      <c r="G21" s="12" t="s">
        <v>893</v>
      </c>
      <c r="H21" s="58"/>
      <c r="I21" s="24"/>
      <c r="J21" s="24"/>
    </row>
    <row r="22" spans="1:12" ht="121.5" customHeight="1" x14ac:dyDescent="0.2">
      <c r="A22" s="92" t="s">
        <v>947</v>
      </c>
      <c r="B22" s="91" t="s">
        <v>935</v>
      </c>
      <c r="C22" s="89" t="s">
        <v>948</v>
      </c>
      <c r="D22" s="21">
        <v>2210</v>
      </c>
      <c r="E22" s="12">
        <v>488.22</v>
      </c>
      <c r="F22" s="90" t="s">
        <v>701</v>
      </c>
      <c r="G22" s="12" t="s">
        <v>893</v>
      </c>
      <c r="H22" s="58"/>
      <c r="I22" s="24"/>
      <c r="J22" s="24"/>
    </row>
    <row r="23" spans="1:12" ht="121.5" customHeight="1" x14ac:dyDescent="0.2">
      <c r="A23" s="92" t="s">
        <v>949</v>
      </c>
      <c r="B23" s="91" t="s">
        <v>847</v>
      </c>
      <c r="C23" s="89" t="s">
        <v>950</v>
      </c>
      <c r="D23" s="21">
        <v>2210</v>
      </c>
      <c r="E23" s="12">
        <v>474</v>
      </c>
      <c r="F23" s="90" t="s">
        <v>701</v>
      </c>
      <c r="G23" s="12" t="s">
        <v>893</v>
      </c>
      <c r="H23" s="58"/>
      <c r="I23" s="24"/>
      <c r="J23" s="24"/>
    </row>
    <row r="24" spans="1:12" ht="121.5" customHeight="1" x14ac:dyDescent="0.2">
      <c r="A24" s="92" t="s">
        <v>951</v>
      </c>
      <c r="B24" s="91" t="s">
        <v>952</v>
      </c>
      <c r="C24" s="89" t="s">
        <v>953</v>
      </c>
      <c r="D24" s="21">
        <v>2210</v>
      </c>
      <c r="E24" s="12">
        <v>420</v>
      </c>
      <c r="F24" s="90" t="s">
        <v>701</v>
      </c>
      <c r="G24" s="12" t="s">
        <v>893</v>
      </c>
      <c r="H24" s="58"/>
      <c r="I24" s="24"/>
      <c r="J24" s="24"/>
    </row>
    <row r="25" spans="1:12" ht="121.5" customHeight="1" x14ac:dyDescent="0.2">
      <c r="A25" s="92" t="s">
        <v>954</v>
      </c>
      <c r="B25" s="91" t="s">
        <v>955</v>
      </c>
      <c r="C25" s="89" t="s">
        <v>956</v>
      </c>
      <c r="D25" s="21">
        <v>2210</v>
      </c>
      <c r="E25" s="12">
        <v>157.19999999999999</v>
      </c>
      <c r="F25" s="90" t="s">
        <v>701</v>
      </c>
      <c r="G25" s="12" t="s">
        <v>893</v>
      </c>
      <c r="H25" s="58"/>
      <c r="I25" s="24"/>
      <c r="J25" s="24"/>
    </row>
    <row r="26" spans="1:12" ht="121.5" customHeight="1" x14ac:dyDescent="0.2">
      <c r="A26" s="92" t="s">
        <v>960</v>
      </c>
      <c r="B26" s="91" t="s">
        <v>961</v>
      </c>
      <c r="C26" s="89" t="s">
        <v>962</v>
      </c>
      <c r="D26" s="21">
        <v>2210</v>
      </c>
      <c r="E26" s="12">
        <v>64.44</v>
      </c>
      <c r="F26" s="90" t="s">
        <v>701</v>
      </c>
      <c r="G26" s="12" t="s">
        <v>893</v>
      </c>
      <c r="H26" s="58"/>
      <c r="I26" s="24"/>
      <c r="J26" s="24"/>
    </row>
    <row r="27" spans="1:12" ht="283.5" x14ac:dyDescent="0.2">
      <c r="A27" s="92" t="s">
        <v>963</v>
      </c>
      <c r="B27" s="91" t="s">
        <v>853</v>
      </c>
      <c r="C27" s="89" t="s">
        <v>854</v>
      </c>
      <c r="D27" s="21">
        <v>2210</v>
      </c>
      <c r="E27" s="12">
        <v>102.72</v>
      </c>
      <c r="F27" s="90" t="s">
        <v>701</v>
      </c>
      <c r="G27" s="12" t="s">
        <v>893</v>
      </c>
      <c r="H27" s="58"/>
      <c r="I27" s="24"/>
      <c r="J27" s="24"/>
    </row>
    <row r="28" spans="1:12" ht="121.5" customHeight="1" x14ac:dyDescent="0.2">
      <c r="A28" s="92" t="s">
        <v>964</v>
      </c>
      <c r="B28" s="91" t="s">
        <v>882</v>
      </c>
      <c r="C28" s="89" t="s">
        <v>965</v>
      </c>
      <c r="D28" s="21">
        <v>2210</v>
      </c>
      <c r="E28" s="12">
        <v>344.7</v>
      </c>
      <c r="F28" s="90" t="s">
        <v>701</v>
      </c>
      <c r="G28" s="12" t="s">
        <v>893</v>
      </c>
      <c r="H28" s="58"/>
      <c r="I28" s="24"/>
      <c r="J28" s="24"/>
    </row>
    <row r="29" spans="1:12" ht="20.25" customHeight="1" thickBot="1" x14ac:dyDescent="0.25">
      <c r="A29" s="152" t="s">
        <v>1097</v>
      </c>
      <c r="B29" s="153"/>
      <c r="C29" s="153"/>
      <c r="D29" s="153"/>
      <c r="E29" s="153"/>
      <c r="F29" s="154"/>
      <c r="G29" s="154"/>
      <c r="H29" s="155"/>
    </row>
    <row r="30" spans="1:12" ht="38.25" customHeight="1" x14ac:dyDescent="0.25">
      <c r="A30" s="66"/>
      <c r="B30" s="77"/>
      <c r="C30" s="66"/>
      <c r="D30" s="67"/>
      <c r="E30" s="4"/>
      <c r="F30" s="4"/>
      <c r="G30" s="4"/>
      <c r="H30" s="65"/>
    </row>
    <row r="31" spans="1:12" s="5" customFormat="1" ht="38.25" customHeight="1" x14ac:dyDescent="0.2">
      <c r="A31" s="3"/>
      <c r="B31" s="78"/>
      <c r="C31" s="3"/>
      <c r="D31" s="3"/>
      <c r="E31" s="75"/>
      <c r="F31" s="3"/>
      <c r="G31" s="3"/>
      <c r="H31" s="3"/>
      <c r="I31" s="3"/>
      <c r="J31" s="3"/>
      <c r="K31" s="3"/>
      <c r="L31" s="3"/>
    </row>
    <row r="32" spans="1:12" s="5" customFormat="1" ht="38.25" customHeight="1" x14ac:dyDescent="0.2">
      <c r="A32" s="3"/>
      <c r="B32" s="78"/>
      <c r="C32" s="95"/>
      <c r="D32" s="3"/>
      <c r="E32" s="75"/>
      <c r="F32" s="3"/>
      <c r="G32" s="3"/>
      <c r="H32" s="3"/>
      <c r="I32" s="3"/>
      <c r="J32" s="3"/>
      <c r="K32" s="3"/>
      <c r="L32" s="3"/>
    </row>
    <row r="33" spans="1:12" s="5" customFormat="1" ht="38.25" customHeight="1" x14ac:dyDescent="0.2">
      <c r="A33" s="3"/>
      <c r="B33" s="78"/>
      <c r="D33" s="3"/>
      <c r="E33" s="75"/>
      <c r="F33" s="3"/>
      <c r="G33" s="3"/>
      <c r="H33" s="3"/>
      <c r="I33" s="3"/>
      <c r="J33" s="3"/>
      <c r="K33" s="3"/>
      <c r="L33" s="3"/>
    </row>
    <row r="34" spans="1:12" s="5" customFormat="1" ht="38.25" customHeight="1" x14ac:dyDescent="0.2">
      <c r="A34" s="3"/>
      <c r="B34" s="78"/>
      <c r="D34" s="3"/>
      <c r="E34" s="75"/>
      <c r="F34" s="3"/>
      <c r="G34" s="3"/>
      <c r="H34" s="3"/>
      <c r="I34" s="3"/>
      <c r="J34" s="3"/>
      <c r="K34" s="3"/>
      <c r="L34" s="3"/>
    </row>
    <row r="42" spans="1:12" ht="38.25" customHeight="1" x14ac:dyDescent="0.2">
      <c r="C42" s="95"/>
    </row>
    <row r="43" spans="1:12" ht="38.25" customHeight="1" x14ac:dyDescent="0.2">
      <c r="C43" s="95"/>
    </row>
    <row r="44" spans="1:12" ht="38.25" customHeight="1" x14ac:dyDescent="0.2">
      <c r="C44" s="95"/>
    </row>
    <row r="45" spans="1:12" ht="38.25" customHeight="1" x14ac:dyDescent="0.2">
      <c r="C45" s="95"/>
    </row>
    <row r="46" spans="1:12" ht="38.25" customHeight="1" x14ac:dyDescent="0.2">
      <c r="C46" s="95"/>
    </row>
    <row r="47" spans="1:12" ht="38.25" customHeight="1" x14ac:dyDescent="0.2">
      <c r="C47" s="95"/>
    </row>
    <row r="48" spans="1:12" ht="38.25" customHeight="1" x14ac:dyDescent="0.2">
      <c r="C48" s="95"/>
    </row>
    <row r="49" spans="3:3" ht="38.25" customHeight="1" x14ac:dyDescent="0.2">
      <c r="C49" s="95"/>
    </row>
  </sheetData>
  <mergeCells count="14">
    <mergeCell ref="H4:H5"/>
    <mergeCell ref="I5:I6"/>
    <mergeCell ref="A7:D7"/>
    <mergeCell ref="A29:H29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topLeftCell="A2" zoomScaleNormal="100" zoomScaleSheetLayoutView="100" workbookViewId="0">
      <selection activeCell="B21" sqref="B21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74">
        <v>1</v>
      </c>
      <c r="B6" s="76">
        <v>2</v>
      </c>
      <c r="C6" s="74">
        <v>3</v>
      </c>
      <c r="D6" s="76">
        <v>4</v>
      </c>
      <c r="E6" s="74">
        <v>5</v>
      </c>
      <c r="F6" s="76">
        <v>6</v>
      </c>
      <c r="G6" s="74">
        <v>7</v>
      </c>
      <c r="H6" s="76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2.25" customHeight="1" x14ac:dyDescent="0.2">
      <c r="A8" s="19" t="s">
        <v>764</v>
      </c>
      <c r="B8" s="19" t="s">
        <v>796</v>
      </c>
      <c r="C8" s="19" t="s">
        <v>797</v>
      </c>
      <c r="D8" s="21">
        <v>2220</v>
      </c>
      <c r="E8" s="79">
        <v>1772.4</v>
      </c>
      <c r="F8" s="12" t="s">
        <v>701</v>
      </c>
      <c r="G8" s="12" t="s">
        <v>893</v>
      </c>
      <c r="H8" s="22"/>
      <c r="I8" s="24"/>
      <c r="J8" s="24"/>
    </row>
    <row r="9" spans="1:10" ht="105" x14ac:dyDescent="0.2">
      <c r="A9" s="19" t="s">
        <v>894</v>
      </c>
      <c r="B9" s="19" t="s">
        <v>895</v>
      </c>
      <c r="C9" s="19" t="s">
        <v>896</v>
      </c>
      <c r="D9" s="21">
        <v>2240</v>
      </c>
      <c r="E9" s="12">
        <v>444</v>
      </c>
      <c r="F9" s="12" t="s">
        <v>701</v>
      </c>
      <c r="G9" s="12" t="s">
        <v>893</v>
      </c>
      <c r="H9" s="22"/>
      <c r="I9" s="24"/>
      <c r="J9" s="24"/>
    </row>
    <row r="10" spans="1:10" ht="62.25" customHeight="1" x14ac:dyDescent="0.2">
      <c r="A10" s="19" t="s">
        <v>897</v>
      </c>
      <c r="B10" s="19" t="s">
        <v>898</v>
      </c>
      <c r="C10" s="19" t="s">
        <v>899</v>
      </c>
      <c r="D10" s="21">
        <v>2220</v>
      </c>
      <c r="E10" s="12">
        <v>527.29999999999995</v>
      </c>
      <c r="F10" s="12" t="s">
        <v>701</v>
      </c>
      <c r="G10" s="12" t="s">
        <v>893</v>
      </c>
      <c r="H10" s="22"/>
      <c r="I10" s="24"/>
      <c r="J10" s="24"/>
    </row>
    <row r="11" spans="1:10" ht="90" x14ac:dyDescent="0.2">
      <c r="A11" s="19" t="s">
        <v>900</v>
      </c>
      <c r="B11" s="19" t="s">
        <v>901</v>
      </c>
      <c r="C11" s="19" t="s">
        <v>899</v>
      </c>
      <c r="D11" s="21">
        <v>2220</v>
      </c>
      <c r="E11" s="12">
        <v>930.37</v>
      </c>
      <c r="F11" s="12" t="s">
        <v>701</v>
      </c>
      <c r="G11" s="12" t="s">
        <v>893</v>
      </c>
      <c r="H11" s="22"/>
      <c r="I11" s="24"/>
      <c r="J11" s="24"/>
    </row>
    <row r="12" spans="1:10" ht="78.75" x14ac:dyDescent="0.2">
      <c r="A12" s="19" t="s">
        <v>903</v>
      </c>
      <c r="B12" s="19" t="s">
        <v>902</v>
      </c>
      <c r="C12" s="19" t="s">
        <v>899</v>
      </c>
      <c r="D12" s="21">
        <v>2220</v>
      </c>
      <c r="E12" s="12">
        <v>5329.99</v>
      </c>
      <c r="F12" s="12" t="s">
        <v>701</v>
      </c>
      <c r="G12" s="12" t="s">
        <v>893</v>
      </c>
      <c r="H12" s="22"/>
      <c r="I12" s="24"/>
      <c r="J12" s="24"/>
    </row>
    <row r="13" spans="1:10" ht="62.25" customHeight="1" x14ac:dyDescent="0.2">
      <c r="A13" s="19" t="s">
        <v>904</v>
      </c>
      <c r="B13" s="19" t="s">
        <v>905</v>
      </c>
      <c r="C13" s="19" t="s">
        <v>906</v>
      </c>
      <c r="D13" s="21">
        <v>2282</v>
      </c>
      <c r="E13" s="12">
        <v>277.19</v>
      </c>
      <c r="F13" s="12" t="s">
        <v>701</v>
      </c>
      <c r="G13" s="12" t="s">
        <v>893</v>
      </c>
      <c r="H13" s="22"/>
      <c r="I13" s="24"/>
      <c r="J13" s="24"/>
    </row>
    <row r="14" spans="1:10" ht="180" x14ac:dyDescent="0.2">
      <c r="A14" s="19" t="s">
        <v>907</v>
      </c>
      <c r="B14" s="20" t="s">
        <v>713</v>
      </c>
      <c r="C14" s="12" t="s">
        <v>714</v>
      </c>
      <c r="D14" s="21">
        <v>2210</v>
      </c>
      <c r="E14" s="12">
        <v>7619.47</v>
      </c>
      <c r="F14" s="12" t="s">
        <v>768</v>
      </c>
      <c r="G14" s="12" t="s">
        <v>893</v>
      </c>
      <c r="H14" s="22"/>
      <c r="I14" s="24"/>
      <c r="J14" s="24"/>
    </row>
    <row r="15" spans="1:10" ht="62.25" customHeight="1" x14ac:dyDescent="0.2">
      <c r="A15" s="19" t="s">
        <v>908</v>
      </c>
      <c r="B15" s="12" t="s">
        <v>905</v>
      </c>
      <c r="C15" s="12" t="s">
        <v>909</v>
      </c>
      <c r="D15" s="21">
        <v>2282</v>
      </c>
      <c r="E15" s="12">
        <v>2560</v>
      </c>
      <c r="F15" s="12" t="s">
        <v>701</v>
      </c>
      <c r="G15" s="12" t="s">
        <v>893</v>
      </c>
      <c r="H15" s="22"/>
      <c r="I15" s="24"/>
      <c r="J15" s="24"/>
    </row>
    <row r="16" spans="1:10" ht="62.25" customHeight="1" x14ac:dyDescent="0.2">
      <c r="A16" s="19" t="s">
        <v>910</v>
      </c>
      <c r="B16" s="12" t="s">
        <v>826</v>
      </c>
      <c r="C16" s="12" t="s">
        <v>911</v>
      </c>
      <c r="D16" s="21">
        <v>2210</v>
      </c>
      <c r="E16" s="12">
        <v>2055</v>
      </c>
      <c r="F16" s="12" t="s">
        <v>701</v>
      </c>
      <c r="G16" s="12" t="s">
        <v>893</v>
      </c>
      <c r="H16" s="22"/>
      <c r="I16" s="24"/>
      <c r="J16" s="24"/>
    </row>
    <row r="17" spans="1:12" ht="62.25" customHeight="1" x14ac:dyDescent="0.2">
      <c r="A17" s="19" t="s">
        <v>912</v>
      </c>
      <c r="B17" s="12" t="s">
        <v>826</v>
      </c>
      <c r="C17" s="12" t="s">
        <v>913</v>
      </c>
      <c r="D17" s="21">
        <v>2210</v>
      </c>
      <c r="E17" s="12">
        <v>393.6</v>
      </c>
      <c r="F17" s="12" t="s">
        <v>701</v>
      </c>
      <c r="G17" s="12" t="s">
        <v>893</v>
      </c>
      <c r="H17" s="22"/>
      <c r="I17" s="24"/>
      <c r="J17" s="24"/>
    </row>
    <row r="18" spans="1:12" ht="62.25" customHeight="1" x14ac:dyDescent="0.2">
      <c r="A18" s="19" t="s">
        <v>914</v>
      </c>
      <c r="B18" s="12" t="s">
        <v>826</v>
      </c>
      <c r="C18" s="12" t="s">
        <v>832</v>
      </c>
      <c r="D18" s="21">
        <v>2210</v>
      </c>
      <c r="E18" s="12">
        <v>125.4</v>
      </c>
      <c r="F18" s="12" t="s">
        <v>701</v>
      </c>
      <c r="G18" s="12" t="s">
        <v>893</v>
      </c>
      <c r="H18" s="22"/>
      <c r="I18" s="24"/>
      <c r="J18" s="24"/>
    </row>
    <row r="19" spans="1:12" ht="105" x14ac:dyDescent="0.2">
      <c r="A19" s="19" t="s">
        <v>915</v>
      </c>
      <c r="B19" s="12" t="s">
        <v>713</v>
      </c>
      <c r="C19" s="12" t="s">
        <v>714</v>
      </c>
      <c r="D19" s="21">
        <v>2210</v>
      </c>
      <c r="E19" s="12">
        <v>1775.13</v>
      </c>
      <c r="F19" s="12" t="s">
        <v>768</v>
      </c>
      <c r="G19" s="12" t="s">
        <v>893</v>
      </c>
      <c r="H19" s="22"/>
      <c r="I19" s="24"/>
      <c r="J19" s="24"/>
    </row>
    <row r="20" spans="1:12" ht="90" x14ac:dyDescent="0.2">
      <c r="A20" s="19" t="s">
        <v>916</v>
      </c>
      <c r="B20" s="12" t="s">
        <v>819</v>
      </c>
      <c r="C20" s="12" t="s">
        <v>917</v>
      </c>
      <c r="D20" s="21">
        <v>2210</v>
      </c>
      <c r="E20" s="12">
        <v>1909.6</v>
      </c>
      <c r="F20" s="12" t="s">
        <v>768</v>
      </c>
      <c r="G20" s="12" t="s">
        <v>893</v>
      </c>
      <c r="H20" s="22"/>
      <c r="I20" s="24"/>
      <c r="J20" s="24"/>
    </row>
    <row r="21" spans="1:12" ht="62.25" customHeight="1" x14ac:dyDescent="0.2">
      <c r="A21" s="19" t="s">
        <v>918</v>
      </c>
      <c r="B21" s="12" t="s">
        <v>876</v>
      </c>
      <c r="C21" s="12" t="s">
        <v>877</v>
      </c>
      <c r="D21" s="21">
        <v>2240</v>
      </c>
      <c r="E21" s="12">
        <v>11997.6</v>
      </c>
      <c r="F21" s="12" t="s">
        <v>768</v>
      </c>
      <c r="G21" s="12" t="s">
        <v>893</v>
      </c>
      <c r="H21" s="22"/>
      <c r="I21" s="24"/>
      <c r="J21" s="24"/>
    </row>
    <row r="22" spans="1:12" ht="20.25" customHeight="1" thickBot="1" x14ac:dyDescent="0.25">
      <c r="A22" s="139" t="s">
        <v>1099</v>
      </c>
      <c r="B22" s="140"/>
      <c r="C22" s="140"/>
      <c r="D22" s="140"/>
      <c r="E22" s="140"/>
      <c r="F22" s="141"/>
      <c r="G22" s="141"/>
      <c r="H22" s="142"/>
    </row>
    <row r="23" spans="1:12" ht="38.25" customHeight="1" x14ac:dyDescent="0.25">
      <c r="A23" s="66"/>
      <c r="B23" s="77"/>
      <c r="C23" s="66"/>
      <c r="D23" s="67"/>
      <c r="E23" s="4"/>
      <c r="F23" s="4"/>
      <c r="G23" s="4"/>
      <c r="H23" s="65"/>
    </row>
    <row r="24" spans="1:12" s="5" customFormat="1" ht="38.25" customHeight="1" x14ac:dyDescent="0.2">
      <c r="A24" s="3"/>
      <c r="B24" s="78"/>
      <c r="C24" s="3"/>
      <c r="D24" s="3"/>
      <c r="E24" s="75"/>
      <c r="F24" s="3"/>
      <c r="G24" s="3"/>
      <c r="H24" s="3"/>
      <c r="I24" s="3"/>
      <c r="J24" s="3"/>
      <c r="K24" s="3"/>
      <c r="L24" s="3"/>
    </row>
    <row r="25" spans="1:12" s="5" customFormat="1" ht="38.25" customHeight="1" x14ac:dyDescent="0.2">
      <c r="A25" s="3"/>
      <c r="B25" s="78"/>
      <c r="C25" s="3"/>
      <c r="D25" s="3"/>
      <c r="E25" s="75"/>
      <c r="F25" s="3"/>
      <c r="G25" s="3"/>
      <c r="H25" s="3"/>
      <c r="I25" s="3"/>
      <c r="J25" s="3"/>
      <c r="K25" s="3"/>
      <c r="L25" s="3"/>
    </row>
    <row r="26" spans="1:12" s="5" customFormat="1" ht="38.25" customHeight="1" x14ac:dyDescent="0.2">
      <c r="A26" s="3"/>
      <c r="B26" s="78"/>
      <c r="C26" s="3"/>
      <c r="D26" s="3"/>
      <c r="E26" s="75"/>
      <c r="F26" s="3"/>
      <c r="G26" s="3"/>
      <c r="H26" s="3"/>
      <c r="I26" s="3"/>
      <c r="J26" s="3"/>
      <c r="K26" s="3"/>
      <c r="L26" s="3"/>
    </row>
    <row r="27" spans="1:12" s="5" customFormat="1" ht="38.25" customHeight="1" x14ac:dyDescent="0.2">
      <c r="A27" s="3"/>
      <c r="B27" s="78"/>
      <c r="C27" s="3"/>
      <c r="D27" s="3"/>
      <c r="E27" s="75"/>
      <c r="F27" s="3"/>
      <c r="G27" s="3"/>
      <c r="H27" s="3"/>
      <c r="I27" s="3"/>
      <c r="J27" s="3"/>
      <c r="K27" s="3"/>
      <c r="L27" s="3"/>
    </row>
  </sheetData>
  <mergeCells count="14">
    <mergeCell ref="H4:H5"/>
    <mergeCell ref="I5:I6"/>
    <mergeCell ref="A7:D7"/>
    <mergeCell ref="A22:H22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view="pageBreakPreview" topLeftCell="A22" zoomScaleNormal="100" zoomScaleSheetLayoutView="100" workbookViewId="0">
      <selection activeCell="A25" sqref="A25:XFD25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74">
        <v>1</v>
      </c>
      <c r="B6" s="76">
        <v>2</v>
      </c>
      <c r="C6" s="74">
        <v>3</v>
      </c>
      <c r="D6" s="76">
        <v>4</v>
      </c>
      <c r="E6" s="74">
        <v>5</v>
      </c>
      <c r="F6" s="76">
        <v>6</v>
      </c>
      <c r="G6" s="74">
        <v>7</v>
      </c>
      <c r="H6" s="76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2.25" customHeight="1" x14ac:dyDescent="0.2">
      <c r="A8" s="12" t="s">
        <v>825</v>
      </c>
      <c r="B8" s="12" t="s">
        <v>826</v>
      </c>
      <c r="C8" s="12" t="s">
        <v>827</v>
      </c>
      <c r="D8" s="21">
        <v>2210</v>
      </c>
      <c r="E8" s="12">
        <v>178.8</v>
      </c>
      <c r="F8" s="12" t="s">
        <v>701</v>
      </c>
      <c r="G8" s="12" t="s">
        <v>828</v>
      </c>
      <c r="H8" s="22"/>
      <c r="I8" s="24"/>
      <c r="J8" s="24"/>
    </row>
    <row r="9" spans="1:10" ht="62.25" customHeight="1" x14ac:dyDescent="0.2">
      <c r="A9" s="12" t="s">
        <v>829</v>
      </c>
      <c r="B9" s="12" t="s">
        <v>826</v>
      </c>
      <c r="C9" s="12" t="s">
        <v>830</v>
      </c>
      <c r="D9" s="21">
        <v>2210</v>
      </c>
      <c r="E9" s="12">
        <v>60</v>
      </c>
      <c r="F9" s="12" t="s">
        <v>701</v>
      </c>
      <c r="G9" s="12" t="s">
        <v>828</v>
      </c>
      <c r="H9" s="22"/>
      <c r="I9" s="24"/>
      <c r="J9" s="24"/>
    </row>
    <row r="10" spans="1:10" ht="62.25" customHeight="1" x14ac:dyDescent="0.2">
      <c r="A10" s="12" t="s">
        <v>831</v>
      </c>
      <c r="B10" s="12" t="s">
        <v>826</v>
      </c>
      <c r="C10" s="12" t="s">
        <v>832</v>
      </c>
      <c r="D10" s="21">
        <v>2210</v>
      </c>
      <c r="E10" s="12">
        <v>139.80000000000001</v>
      </c>
      <c r="F10" s="12" t="s">
        <v>701</v>
      </c>
      <c r="G10" s="12" t="s">
        <v>828</v>
      </c>
      <c r="H10" s="22"/>
      <c r="I10" s="24"/>
      <c r="J10" s="24"/>
    </row>
    <row r="11" spans="1:10" ht="62.25" customHeight="1" x14ac:dyDescent="0.2">
      <c r="A11" s="12" t="s">
        <v>833</v>
      </c>
      <c r="B11" s="12" t="s">
        <v>834</v>
      </c>
      <c r="C11" s="12" t="s">
        <v>835</v>
      </c>
      <c r="D11" s="21">
        <v>2210</v>
      </c>
      <c r="E11" s="12">
        <v>429</v>
      </c>
      <c r="F11" s="12" t="s">
        <v>701</v>
      </c>
      <c r="G11" s="12" t="s">
        <v>828</v>
      </c>
      <c r="H11" s="22"/>
      <c r="I11" s="24"/>
      <c r="J11" s="24"/>
    </row>
    <row r="12" spans="1:10" ht="120" x14ac:dyDescent="0.2">
      <c r="A12" s="12" t="s">
        <v>836</v>
      </c>
      <c r="B12" s="12" t="s">
        <v>837</v>
      </c>
      <c r="C12" s="12" t="s">
        <v>838</v>
      </c>
      <c r="D12" s="21">
        <v>2210</v>
      </c>
      <c r="E12" s="12">
        <v>1516</v>
      </c>
      <c r="F12" s="12" t="s">
        <v>701</v>
      </c>
      <c r="G12" s="12" t="s">
        <v>828</v>
      </c>
      <c r="H12" s="22"/>
      <c r="I12" s="24"/>
      <c r="J12" s="24"/>
    </row>
    <row r="13" spans="1:10" ht="62.25" customHeight="1" x14ac:dyDescent="0.2">
      <c r="A13" s="12" t="s">
        <v>839</v>
      </c>
      <c r="B13" s="12" t="s">
        <v>840</v>
      </c>
      <c r="C13" s="12" t="s">
        <v>841</v>
      </c>
      <c r="D13" s="21">
        <v>2210</v>
      </c>
      <c r="E13" s="12">
        <v>368</v>
      </c>
      <c r="F13" s="12" t="s">
        <v>701</v>
      </c>
      <c r="G13" s="12" t="s">
        <v>828</v>
      </c>
      <c r="H13" s="22"/>
      <c r="I13" s="24"/>
      <c r="J13" s="24"/>
    </row>
    <row r="14" spans="1:10" ht="62.25" customHeight="1" x14ac:dyDescent="0.2">
      <c r="A14" s="12" t="s">
        <v>842</v>
      </c>
      <c r="B14" s="12" t="s">
        <v>837</v>
      </c>
      <c r="C14" s="12" t="s">
        <v>838</v>
      </c>
      <c r="D14" s="21">
        <v>2210</v>
      </c>
      <c r="E14" s="12">
        <v>258</v>
      </c>
      <c r="F14" s="12" t="s">
        <v>701</v>
      </c>
      <c r="G14" s="12" t="s">
        <v>828</v>
      </c>
      <c r="H14" s="22"/>
      <c r="I14" s="24"/>
      <c r="J14" s="24"/>
    </row>
    <row r="15" spans="1:10" ht="62.25" customHeight="1" x14ac:dyDescent="0.2">
      <c r="A15" s="12" t="s">
        <v>843</v>
      </c>
      <c r="B15" s="12" t="s">
        <v>844</v>
      </c>
      <c r="C15" s="12" t="s">
        <v>845</v>
      </c>
      <c r="D15" s="21">
        <v>2210</v>
      </c>
      <c r="E15" s="12">
        <v>320</v>
      </c>
      <c r="F15" s="12" t="s">
        <v>701</v>
      </c>
      <c r="G15" s="12" t="s">
        <v>828</v>
      </c>
      <c r="H15" s="22"/>
      <c r="I15" s="24"/>
      <c r="J15" s="24"/>
    </row>
    <row r="16" spans="1:10" ht="62.25" customHeight="1" x14ac:dyDescent="0.2">
      <c r="A16" s="12" t="s">
        <v>846</v>
      </c>
      <c r="B16" s="12" t="s">
        <v>847</v>
      </c>
      <c r="C16" s="12" t="s">
        <v>848</v>
      </c>
      <c r="D16" s="21">
        <v>2210</v>
      </c>
      <c r="E16" s="12">
        <v>30</v>
      </c>
      <c r="F16" s="12" t="s">
        <v>701</v>
      </c>
      <c r="G16" s="12" t="s">
        <v>828</v>
      </c>
      <c r="H16" s="22"/>
      <c r="I16" s="24"/>
      <c r="J16" s="24"/>
    </row>
    <row r="17" spans="1:10" ht="62.25" customHeight="1" x14ac:dyDescent="0.2">
      <c r="A17" s="12" t="s">
        <v>849</v>
      </c>
      <c r="B17" s="12" t="s">
        <v>847</v>
      </c>
      <c r="C17" s="12" t="s">
        <v>850</v>
      </c>
      <c r="D17" s="21">
        <v>2210</v>
      </c>
      <c r="E17" s="12">
        <v>368</v>
      </c>
      <c r="F17" s="12" t="s">
        <v>701</v>
      </c>
      <c r="G17" s="12" t="s">
        <v>828</v>
      </c>
      <c r="H17" s="22"/>
      <c r="I17" s="24"/>
      <c r="J17" s="24"/>
    </row>
    <row r="18" spans="1:10" ht="62.25" customHeight="1" x14ac:dyDescent="0.2">
      <c r="A18" s="12" t="s">
        <v>851</v>
      </c>
      <c r="B18" s="12" t="s">
        <v>837</v>
      </c>
      <c r="C18" s="12" t="s">
        <v>838</v>
      </c>
      <c r="D18" s="21">
        <v>2210</v>
      </c>
      <c r="E18" s="12">
        <v>195</v>
      </c>
      <c r="F18" s="12" t="s">
        <v>701</v>
      </c>
      <c r="G18" s="12" t="s">
        <v>828</v>
      </c>
      <c r="H18" s="22"/>
      <c r="I18" s="24"/>
      <c r="J18" s="24"/>
    </row>
    <row r="19" spans="1:10" ht="62.25" customHeight="1" x14ac:dyDescent="0.2">
      <c r="A19" s="12" t="s">
        <v>852</v>
      </c>
      <c r="B19" s="12" t="s">
        <v>853</v>
      </c>
      <c r="C19" s="12" t="s">
        <v>854</v>
      </c>
      <c r="D19" s="21">
        <v>2210</v>
      </c>
      <c r="E19" s="12">
        <v>185.78</v>
      </c>
      <c r="F19" s="12" t="s">
        <v>701</v>
      </c>
      <c r="G19" s="12" t="s">
        <v>828</v>
      </c>
      <c r="H19" s="22"/>
      <c r="I19" s="24"/>
      <c r="J19" s="24"/>
    </row>
    <row r="20" spans="1:10" ht="62.25" customHeight="1" x14ac:dyDescent="0.2">
      <c r="A20" s="12" t="s">
        <v>855</v>
      </c>
      <c r="B20" s="12" t="s">
        <v>856</v>
      </c>
      <c r="C20" s="12" t="s">
        <v>857</v>
      </c>
      <c r="D20" s="21">
        <v>2210</v>
      </c>
      <c r="E20" s="12">
        <v>450</v>
      </c>
      <c r="F20" s="12" t="s">
        <v>701</v>
      </c>
      <c r="G20" s="12" t="s">
        <v>828</v>
      </c>
      <c r="H20" s="22"/>
      <c r="I20" s="24"/>
      <c r="J20" s="24"/>
    </row>
    <row r="21" spans="1:10" ht="62.25" customHeight="1" x14ac:dyDescent="0.2">
      <c r="A21" s="12" t="s">
        <v>858</v>
      </c>
      <c r="B21" s="12" t="s">
        <v>859</v>
      </c>
      <c r="C21" s="12" t="s">
        <v>860</v>
      </c>
      <c r="D21" s="21">
        <v>2210</v>
      </c>
      <c r="E21" s="12">
        <v>152</v>
      </c>
      <c r="F21" s="12" t="s">
        <v>701</v>
      </c>
      <c r="G21" s="12" t="s">
        <v>828</v>
      </c>
      <c r="H21" s="22"/>
      <c r="I21" s="24"/>
      <c r="J21" s="24"/>
    </row>
    <row r="22" spans="1:10" ht="62.25" customHeight="1" x14ac:dyDescent="0.2">
      <c r="A22" s="12" t="s">
        <v>861</v>
      </c>
      <c r="B22" s="12" t="s">
        <v>826</v>
      </c>
      <c r="C22" s="12" t="s">
        <v>862</v>
      </c>
      <c r="D22" s="21">
        <v>2210</v>
      </c>
      <c r="E22" s="12">
        <v>3248</v>
      </c>
      <c r="F22" s="12" t="s">
        <v>701</v>
      </c>
      <c r="G22" s="12" t="s">
        <v>828</v>
      </c>
      <c r="H22" s="22"/>
      <c r="I22" s="24"/>
      <c r="J22" s="24"/>
    </row>
    <row r="23" spans="1:10" ht="90" x14ac:dyDescent="0.2">
      <c r="A23" s="12" t="s">
        <v>863</v>
      </c>
      <c r="B23" s="12" t="s">
        <v>864</v>
      </c>
      <c r="C23" s="12" t="s">
        <v>865</v>
      </c>
      <c r="D23" s="21">
        <v>2210</v>
      </c>
      <c r="E23" s="12">
        <v>8532</v>
      </c>
      <c r="F23" s="12" t="s">
        <v>701</v>
      </c>
      <c r="G23" s="12" t="s">
        <v>828</v>
      </c>
      <c r="H23" s="22"/>
      <c r="I23" s="24"/>
      <c r="J23" s="24"/>
    </row>
    <row r="24" spans="1:10" ht="62.25" customHeight="1" x14ac:dyDescent="0.2">
      <c r="A24" s="12" t="s">
        <v>866</v>
      </c>
      <c r="B24" s="12" t="s">
        <v>867</v>
      </c>
      <c r="C24" s="12" t="s">
        <v>868</v>
      </c>
      <c r="D24" s="21">
        <v>2240</v>
      </c>
      <c r="E24" s="12">
        <v>6604.88</v>
      </c>
      <c r="F24" s="12" t="s">
        <v>701</v>
      </c>
      <c r="G24" s="12" t="s">
        <v>828</v>
      </c>
      <c r="H24" s="22"/>
      <c r="I24" s="24"/>
      <c r="J24" s="24"/>
    </row>
    <row r="25" spans="1:10" ht="90" x14ac:dyDescent="0.2">
      <c r="A25" s="12" t="s">
        <v>872</v>
      </c>
      <c r="B25" s="12" t="s">
        <v>873</v>
      </c>
      <c r="C25" s="12" t="s">
        <v>874</v>
      </c>
      <c r="D25" s="21">
        <v>2240</v>
      </c>
      <c r="E25" s="12">
        <v>1785</v>
      </c>
      <c r="F25" s="12" t="s">
        <v>701</v>
      </c>
      <c r="G25" s="12" t="s">
        <v>828</v>
      </c>
      <c r="H25" s="22"/>
      <c r="I25" s="24"/>
      <c r="J25" s="24"/>
    </row>
    <row r="26" spans="1:10" ht="345" x14ac:dyDescent="0.2">
      <c r="A26" s="12" t="s">
        <v>869</v>
      </c>
      <c r="B26" s="12" t="s">
        <v>870</v>
      </c>
      <c r="C26" s="12" t="s">
        <v>871</v>
      </c>
      <c r="D26" s="21">
        <v>2240</v>
      </c>
      <c r="E26" s="12">
        <v>1230</v>
      </c>
      <c r="F26" s="12" t="s">
        <v>701</v>
      </c>
      <c r="G26" s="12" t="s">
        <v>828</v>
      </c>
      <c r="H26" s="22"/>
      <c r="I26" s="24"/>
      <c r="J26" s="24"/>
    </row>
    <row r="27" spans="1:10" ht="90" x14ac:dyDescent="0.2">
      <c r="A27" s="12" t="s">
        <v>875</v>
      </c>
      <c r="B27" s="12" t="s">
        <v>876</v>
      </c>
      <c r="C27" s="12" t="s">
        <v>877</v>
      </c>
      <c r="D27" s="21">
        <v>2240</v>
      </c>
      <c r="E27" s="12">
        <v>570</v>
      </c>
      <c r="F27" s="12" t="s">
        <v>701</v>
      </c>
      <c r="G27" s="12" t="s">
        <v>828</v>
      </c>
      <c r="H27" s="22"/>
      <c r="I27" s="24"/>
      <c r="J27" s="24"/>
    </row>
    <row r="28" spans="1:10" ht="62.25" customHeight="1" x14ac:dyDescent="0.2">
      <c r="A28" s="12" t="s">
        <v>881</v>
      </c>
      <c r="B28" s="12" t="s">
        <v>882</v>
      </c>
      <c r="C28" s="12" t="s">
        <v>883</v>
      </c>
      <c r="D28" s="21">
        <v>2210</v>
      </c>
      <c r="E28" s="12">
        <v>5831</v>
      </c>
      <c r="F28" s="12" t="s">
        <v>701</v>
      </c>
      <c r="G28" s="12" t="s">
        <v>828</v>
      </c>
      <c r="H28" s="22"/>
      <c r="I28" s="24"/>
      <c r="J28" s="24"/>
    </row>
    <row r="29" spans="1:10" ht="62.25" customHeight="1" x14ac:dyDescent="0.2">
      <c r="A29" s="12" t="s">
        <v>878</v>
      </c>
      <c r="B29" s="12" t="s">
        <v>879</v>
      </c>
      <c r="C29" s="12" t="s">
        <v>880</v>
      </c>
      <c r="D29" s="21">
        <v>2210</v>
      </c>
      <c r="E29" s="12">
        <v>3000</v>
      </c>
      <c r="F29" s="12" t="s">
        <v>701</v>
      </c>
      <c r="G29" s="12" t="s">
        <v>828</v>
      </c>
      <c r="H29" s="22"/>
      <c r="I29" s="24"/>
      <c r="J29" s="24"/>
    </row>
    <row r="30" spans="1:10" ht="62.25" customHeight="1" x14ac:dyDescent="0.2">
      <c r="A30" s="12" t="s">
        <v>884</v>
      </c>
      <c r="B30" s="12" t="s">
        <v>826</v>
      </c>
      <c r="C30" s="12" t="s">
        <v>827</v>
      </c>
      <c r="D30" s="21">
        <v>2210</v>
      </c>
      <c r="E30" s="12">
        <v>1002.32</v>
      </c>
      <c r="F30" s="12" t="s">
        <v>701</v>
      </c>
      <c r="G30" s="12" t="s">
        <v>828</v>
      </c>
      <c r="H30" s="22"/>
      <c r="I30" s="24"/>
      <c r="J30" s="24"/>
    </row>
    <row r="31" spans="1:10" ht="62.25" customHeight="1" x14ac:dyDescent="0.2">
      <c r="A31" s="12" t="s">
        <v>885</v>
      </c>
      <c r="B31" s="12" t="s">
        <v>837</v>
      </c>
      <c r="C31" s="12" t="s">
        <v>838</v>
      </c>
      <c r="D31" s="21">
        <v>2210</v>
      </c>
      <c r="E31" s="12">
        <v>1839.99</v>
      </c>
      <c r="F31" s="12" t="s">
        <v>701</v>
      </c>
      <c r="G31" s="12" t="s">
        <v>828</v>
      </c>
      <c r="H31" s="22"/>
      <c r="I31" s="24"/>
      <c r="J31" s="24"/>
    </row>
    <row r="32" spans="1:10" ht="62.25" customHeight="1" x14ac:dyDescent="0.2">
      <c r="A32" s="12" t="s">
        <v>886</v>
      </c>
      <c r="B32" s="12" t="s">
        <v>876</v>
      </c>
      <c r="C32" s="12" t="s">
        <v>887</v>
      </c>
      <c r="D32" s="21">
        <v>2240</v>
      </c>
      <c r="E32" s="12">
        <v>5110</v>
      </c>
      <c r="F32" s="12" t="s">
        <v>701</v>
      </c>
      <c r="G32" s="12" t="s">
        <v>828</v>
      </c>
      <c r="H32" s="22"/>
      <c r="I32" s="24"/>
      <c r="J32" s="24"/>
    </row>
    <row r="33" spans="1:12" ht="62.25" customHeight="1" x14ac:dyDescent="0.2">
      <c r="A33" s="12" t="s">
        <v>813</v>
      </c>
      <c r="B33" s="12" t="s">
        <v>807</v>
      </c>
      <c r="C33" s="12" t="s">
        <v>808</v>
      </c>
      <c r="D33" s="21">
        <v>2210</v>
      </c>
      <c r="E33" s="12">
        <v>6800</v>
      </c>
      <c r="F33" s="12" t="s">
        <v>701</v>
      </c>
      <c r="G33" s="12" t="s">
        <v>801</v>
      </c>
      <c r="H33" s="58" t="s">
        <v>888</v>
      </c>
      <c r="I33" s="24"/>
      <c r="J33" s="24"/>
    </row>
    <row r="34" spans="1:12" ht="62.25" customHeight="1" x14ac:dyDescent="0.2">
      <c r="A34" s="19" t="s">
        <v>891</v>
      </c>
      <c r="B34" s="20" t="s">
        <v>791</v>
      </c>
      <c r="C34" s="12" t="s">
        <v>792</v>
      </c>
      <c r="D34" s="21">
        <v>2210</v>
      </c>
      <c r="E34" s="12">
        <v>4092.48</v>
      </c>
      <c r="F34" s="12" t="s">
        <v>701</v>
      </c>
      <c r="G34" s="12" t="s">
        <v>890</v>
      </c>
      <c r="H34" s="58" t="s">
        <v>889</v>
      </c>
      <c r="I34" s="24"/>
      <c r="J34" s="24"/>
    </row>
    <row r="35" spans="1:12" ht="62.25" customHeight="1" x14ac:dyDescent="0.2">
      <c r="A35" s="19" t="s">
        <v>892</v>
      </c>
      <c r="B35" s="20" t="s">
        <v>794</v>
      </c>
      <c r="C35" s="12" t="s">
        <v>795</v>
      </c>
      <c r="D35" s="21">
        <v>2210</v>
      </c>
      <c r="E35" s="12">
        <v>8000.64</v>
      </c>
      <c r="F35" s="12" t="s">
        <v>701</v>
      </c>
      <c r="G35" s="12" t="s">
        <v>890</v>
      </c>
      <c r="H35" s="58" t="s">
        <v>889</v>
      </c>
      <c r="I35" s="24"/>
      <c r="J35" s="24"/>
    </row>
    <row r="36" spans="1:12" ht="20.25" customHeight="1" thickBot="1" x14ac:dyDescent="0.25">
      <c r="A36" s="139" t="s">
        <v>824</v>
      </c>
      <c r="B36" s="140"/>
      <c r="C36" s="140"/>
      <c r="D36" s="140"/>
      <c r="E36" s="140"/>
      <c r="F36" s="141"/>
      <c r="G36" s="141"/>
      <c r="H36" s="142"/>
    </row>
    <row r="37" spans="1:12" ht="38.25" customHeight="1" x14ac:dyDescent="0.25">
      <c r="A37" s="66"/>
      <c r="B37" s="77"/>
      <c r="C37" s="66"/>
      <c r="D37" s="67"/>
      <c r="E37" s="4"/>
      <c r="F37" s="4"/>
      <c r="G37" s="4"/>
      <c r="H37" s="65"/>
    </row>
    <row r="38" spans="1:12" s="5" customFormat="1" ht="38.25" customHeight="1" x14ac:dyDescent="0.2">
      <c r="A38" s="3"/>
      <c r="B38" s="78"/>
      <c r="C38" s="3"/>
      <c r="D38" s="3"/>
      <c r="E38" s="75"/>
      <c r="F38" s="3"/>
      <c r="G38" s="3"/>
      <c r="H38" s="3"/>
      <c r="I38" s="3"/>
      <c r="J38" s="3"/>
      <c r="K38" s="3"/>
      <c r="L38" s="3"/>
    </row>
    <row r="39" spans="1:12" s="5" customFormat="1" ht="38.25" customHeight="1" x14ac:dyDescent="0.2">
      <c r="A39" s="3"/>
      <c r="B39" s="78"/>
      <c r="C39" s="3"/>
      <c r="D39" s="3"/>
      <c r="E39" s="75"/>
      <c r="F39" s="3"/>
      <c r="G39" s="3"/>
      <c r="H39" s="3"/>
      <c r="I39" s="3"/>
      <c r="J39" s="3"/>
      <c r="K39" s="3"/>
      <c r="L39" s="3"/>
    </row>
    <row r="40" spans="1:12" s="5" customFormat="1" ht="38.25" customHeight="1" x14ac:dyDescent="0.2">
      <c r="A40" s="3"/>
      <c r="B40" s="78"/>
      <c r="C40" s="3"/>
      <c r="D40" s="3"/>
      <c r="E40" s="75"/>
      <c r="F40" s="3"/>
      <c r="G40" s="3"/>
      <c r="H40" s="3"/>
      <c r="I40" s="3"/>
      <c r="J40" s="3"/>
      <c r="K40" s="3"/>
      <c r="L40" s="3"/>
    </row>
    <row r="41" spans="1:12" s="5" customFormat="1" ht="38.25" customHeight="1" x14ac:dyDescent="0.2">
      <c r="A41" s="3"/>
      <c r="B41" s="78"/>
      <c r="C41" s="3"/>
      <c r="D41" s="3"/>
      <c r="E41" s="75"/>
      <c r="F41" s="3"/>
      <c r="G41" s="3"/>
      <c r="H41" s="3"/>
      <c r="I41" s="3"/>
      <c r="J41" s="3"/>
      <c r="K41" s="3"/>
      <c r="L41" s="3"/>
    </row>
  </sheetData>
  <mergeCells count="14">
    <mergeCell ref="H4:H5"/>
    <mergeCell ref="I5:I6"/>
    <mergeCell ref="A7:D7"/>
    <mergeCell ref="A36:H36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view="pageBreakPreview" topLeftCell="A10" zoomScaleNormal="100" zoomScaleSheetLayoutView="100" workbookViewId="0">
      <selection activeCell="E15" sqref="E15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28.2851562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11.855468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80">
        <v>1</v>
      </c>
      <c r="B6" s="76">
        <v>2</v>
      </c>
      <c r="C6" s="81">
        <v>3</v>
      </c>
      <c r="D6" s="76">
        <v>4</v>
      </c>
      <c r="E6" s="81">
        <v>5</v>
      </c>
      <c r="F6" s="76">
        <v>6</v>
      </c>
      <c r="G6" s="81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2.25" customHeight="1" x14ac:dyDescent="0.2">
      <c r="A8" s="79" t="s">
        <v>798</v>
      </c>
      <c r="B8" s="12" t="s">
        <v>799</v>
      </c>
      <c r="C8" s="12" t="s">
        <v>800</v>
      </c>
      <c r="D8" s="21">
        <v>2240</v>
      </c>
      <c r="E8" s="12">
        <v>3616.88</v>
      </c>
      <c r="F8" s="12" t="s">
        <v>701</v>
      </c>
      <c r="G8" s="12" t="s">
        <v>801</v>
      </c>
      <c r="H8" s="58"/>
      <c r="I8" s="24"/>
      <c r="J8" s="24"/>
    </row>
    <row r="9" spans="1:10" ht="62.25" customHeight="1" x14ac:dyDescent="0.2">
      <c r="A9" s="79" t="s">
        <v>802</v>
      </c>
      <c r="B9" s="12" t="s">
        <v>803</v>
      </c>
      <c r="C9" s="12" t="s">
        <v>804</v>
      </c>
      <c r="D9" s="21">
        <v>2220</v>
      </c>
      <c r="E9" s="12">
        <v>2722.08</v>
      </c>
      <c r="F9" s="12" t="s">
        <v>701</v>
      </c>
      <c r="G9" s="12" t="s">
        <v>801</v>
      </c>
      <c r="H9" s="22"/>
      <c r="I9" s="24"/>
      <c r="J9" s="24"/>
    </row>
    <row r="10" spans="1:10" ht="73.5" customHeight="1" x14ac:dyDescent="0.2">
      <c r="A10" s="79" t="s">
        <v>812</v>
      </c>
      <c r="B10" s="12" t="s">
        <v>805</v>
      </c>
      <c r="C10" s="12" t="s">
        <v>806</v>
      </c>
      <c r="D10" s="21">
        <v>2210</v>
      </c>
      <c r="E10" s="12">
        <v>14343.35</v>
      </c>
      <c r="F10" s="12" t="s">
        <v>768</v>
      </c>
      <c r="G10" s="12" t="s">
        <v>801</v>
      </c>
      <c r="H10" s="22"/>
      <c r="I10" s="24"/>
      <c r="J10" s="24"/>
    </row>
    <row r="11" spans="1:10" ht="62.25" customHeight="1" x14ac:dyDescent="0.2">
      <c r="A11" s="79" t="s">
        <v>813</v>
      </c>
      <c r="B11" s="12" t="s">
        <v>807</v>
      </c>
      <c r="C11" s="12" t="s">
        <v>808</v>
      </c>
      <c r="D11" s="21">
        <v>3110</v>
      </c>
      <c r="E11" s="12">
        <v>6800</v>
      </c>
      <c r="F11" s="12" t="s">
        <v>701</v>
      </c>
      <c r="G11" s="12" t="s">
        <v>801</v>
      </c>
      <c r="H11" s="22"/>
      <c r="I11" s="24"/>
      <c r="J11" s="24"/>
    </row>
    <row r="12" spans="1:10" ht="62.25" customHeight="1" x14ac:dyDescent="0.2">
      <c r="A12" s="79" t="s">
        <v>809</v>
      </c>
      <c r="B12" s="12" t="s">
        <v>810</v>
      </c>
      <c r="C12" s="12" t="s">
        <v>811</v>
      </c>
      <c r="D12" s="21">
        <v>2210</v>
      </c>
      <c r="E12" s="12">
        <v>8000</v>
      </c>
      <c r="F12" s="12" t="s">
        <v>701</v>
      </c>
      <c r="G12" s="12" t="s">
        <v>801</v>
      </c>
      <c r="H12" s="22"/>
      <c r="I12" s="24"/>
      <c r="J12" s="24"/>
    </row>
    <row r="13" spans="1:10" ht="62.25" customHeight="1" x14ac:dyDescent="0.2">
      <c r="A13" s="79" t="s">
        <v>814</v>
      </c>
      <c r="B13" s="12" t="s">
        <v>815</v>
      </c>
      <c r="C13" s="12" t="s">
        <v>804</v>
      </c>
      <c r="D13" s="21">
        <v>2220</v>
      </c>
      <c r="E13" s="12">
        <v>1266.8800000000001</v>
      </c>
      <c r="F13" s="12" t="s">
        <v>701</v>
      </c>
      <c r="G13" s="12" t="s">
        <v>801</v>
      </c>
      <c r="H13" s="22"/>
      <c r="I13" s="24"/>
      <c r="J13" s="24"/>
    </row>
    <row r="14" spans="1:10" ht="62.25" customHeight="1" x14ac:dyDescent="0.2">
      <c r="A14" s="79" t="s">
        <v>816</v>
      </c>
      <c r="B14" s="12" t="s">
        <v>803</v>
      </c>
      <c r="C14" s="12" t="s">
        <v>817</v>
      </c>
      <c r="D14" s="21">
        <v>2220</v>
      </c>
      <c r="E14" s="12">
        <v>2940.36</v>
      </c>
      <c r="F14" s="12" t="s">
        <v>701</v>
      </c>
      <c r="G14" s="12" t="s">
        <v>801</v>
      </c>
      <c r="H14" s="22"/>
      <c r="I14" s="24"/>
      <c r="J14" s="24"/>
    </row>
    <row r="15" spans="1:10" ht="90" x14ac:dyDescent="0.2">
      <c r="A15" s="79" t="s">
        <v>818</v>
      </c>
      <c r="B15" s="12" t="s">
        <v>819</v>
      </c>
      <c r="C15" s="12" t="s">
        <v>820</v>
      </c>
      <c r="D15" s="21">
        <v>2220</v>
      </c>
      <c r="E15" s="12">
        <v>1029.4000000000001</v>
      </c>
      <c r="F15" s="12" t="s">
        <v>701</v>
      </c>
      <c r="G15" s="12" t="s">
        <v>801</v>
      </c>
      <c r="H15" s="22"/>
      <c r="I15" s="24"/>
      <c r="J15" s="24"/>
    </row>
    <row r="16" spans="1:10" ht="62.25" customHeight="1" thickBot="1" x14ac:dyDescent="0.25">
      <c r="A16" s="83" t="s">
        <v>821</v>
      </c>
      <c r="B16" s="84" t="s">
        <v>803</v>
      </c>
      <c r="C16" s="84" t="s">
        <v>804</v>
      </c>
      <c r="D16" s="85">
        <v>2220</v>
      </c>
      <c r="E16" s="84">
        <v>1203.1199999999999</v>
      </c>
      <c r="F16" s="84" t="s">
        <v>701</v>
      </c>
      <c r="G16" s="84" t="s">
        <v>801</v>
      </c>
      <c r="H16" s="86"/>
      <c r="I16" s="24"/>
      <c r="J16" s="24"/>
    </row>
    <row r="17" spans="1:12" ht="20.25" customHeight="1" thickBot="1" x14ac:dyDescent="0.25">
      <c r="A17" s="152" t="s">
        <v>765</v>
      </c>
      <c r="B17" s="153"/>
      <c r="C17" s="153"/>
      <c r="D17" s="153"/>
      <c r="E17" s="153"/>
      <c r="F17" s="154"/>
      <c r="G17" s="154"/>
      <c r="H17" s="155"/>
    </row>
    <row r="18" spans="1:12" ht="38.25" customHeight="1" x14ac:dyDescent="0.25">
      <c r="A18" s="66"/>
      <c r="B18" s="77"/>
      <c r="C18" s="66"/>
      <c r="D18" s="67"/>
      <c r="E18" s="4"/>
      <c r="F18" s="4"/>
      <c r="G18" s="4"/>
      <c r="H18" s="65"/>
    </row>
    <row r="19" spans="1:12" s="5" customFormat="1" ht="38.25" customHeight="1" x14ac:dyDescent="0.2">
      <c r="A19" s="3"/>
      <c r="B19" s="78"/>
      <c r="C19" s="3"/>
      <c r="D19" s="3"/>
      <c r="E19" s="75"/>
      <c r="F19" s="3"/>
      <c r="G19" s="3"/>
      <c r="H19" s="3"/>
      <c r="I19" s="3"/>
      <c r="J19" s="3"/>
      <c r="K19" s="3"/>
      <c r="L19" s="3"/>
    </row>
    <row r="20" spans="1:12" s="5" customFormat="1" ht="38.25" customHeight="1" x14ac:dyDescent="0.2">
      <c r="A20" s="3"/>
      <c r="B20" s="78"/>
      <c r="C20" s="3"/>
      <c r="D20" s="3"/>
      <c r="E20" s="75"/>
      <c r="F20" s="3"/>
      <c r="G20" s="3"/>
      <c r="H20" s="3"/>
      <c r="I20" s="3"/>
      <c r="J20" s="3"/>
      <c r="K20" s="3"/>
      <c r="L20" s="3"/>
    </row>
    <row r="21" spans="1:12" s="5" customFormat="1" ht="38.25" customHeight="1" x14ac:dyDescent="0.2">
      <c r="A21" s="3"/>
      <c r="B21" s="78"/>
      <c r="C21" s="3"/>
      <c r="D21" s="3"/>
      <c r="E21" s="75"/>
      <c r="F21" s="3"/>
      <c r="G21" s="3"/>
      <c r="H21" s="3"/>
      <c r="I21" s="3"/>
      <c r="J21" s="3"/>
      <c r="K21" s="3"/>
      <c r="L21" s="3"/>
    </row>
    <row r="22" spans="1:12" s="5" customFormat="1" ht="38.25" customHeight="1" x14ac:dyDescent="0.2">
      <c r="A22" s="3"/>
      <c r="B22" s="78"/>
      <c r="C22" s="3"/>
      <c r="D22" s="3"/>
      <c r="E22" s="75"/>
      <c r="F22" s="3"/>
      <c r="G22" s="3"/>
      <c r="H22" s="3"/>
      <c r="I22" s="3"/>
      <c r="J22" s="3"/>
      <c r="K22" s="3"/>
      <c r="L22" s="3"/>
    </row>
  </sheetData>
  <mergeCells count="14">
    <mergeCell ref="H4:H5"/>
    <mergeCell ref="I5:I6"/>
    <mergeCell ref="A7:D7"/>
    <mergeCell ref="A17:H17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65" orientation="portrait" horizontalDpi="200" verticalDpi="200" r:id="rId1"/>
  <headerFooter scaleWithDoc="0">
    <oddHeader>&amp;C&amp;P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view="pageBreakPreview" topLeftCell="A37" zoomScaleNormal="100" zoomScaleSheetLayoutView="100" workbookViewId="0">
      <selection activeCell="G8" sqref="G8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13.4257812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2.25" customHeight="1" x14ac:dyDescent="0.2">
      <c r="A8" s="19" t="s">
        <v>699</v>
      </c>
      <c r="B8" s="20" t="s">
        <v>697</v>
      </c>
      <c r="C8" s="12" t="s">
        <v>698</v>
      </c>
      <c r="D8" s="21">
        <v>2210</v>
      </c>
      <c r="E8" s="12">
        <v>3148.6</v>
      </c>
      <c r="F8" s="12" t="s">
        <v>701</v>
      </c>
      <c r="G8" s="12" t="s">
        <v>700</v>
      </c>
      <c r="H8" s="22"/>
      <c r="I8" s="24"/>
      <c r="J8" s="24"/>
    </row>
    <row r="9" spans="1:10" ht="62.25" customHeight="1" x14ac:dyDescent="0.2">
      <c r="A9" s="19" t="s">
        <v>706</v>
      </c>
      <c r="B9" s="20" t="s">
        <v>702</v>
      </c>
      <c r="C9" s="12" t="s">
        <v>703</v>
      </c>
      <c r="D9" s="21">
        <v>2210</v>
      </c>
      <c r="E9" s="12">
        <v>870.75</v>
      </c>
      <c r="F9" s="12" t="s">
        <v>701</v>
      </c>
      <c r="G9" s="12" t="s">
        <v>700</v>
      </c>
      <c r="H9" s="22"/>
      <c r="I9" s="24"/>
      <c r="J9" s="24"/>
    </row>
    <row r="10" spans="1:10" ht="62.25" customHeight="1" x14ac:dyDescent="0.2">
      <c r="A10" s="19" t="s">
        <v>707</v>
      </c>
      <c r="B10" s="20" t="s">
        <v>704</v>
      </c>
      <c r="C10" s="12" t="s">
        <v>705</v>
      </c>
      <c r="D10" s="21">
        <v>2210</v>
      </c>
      <c r="E10" s="12">
        <v>315</v>
      </c>
      <c r="F10" s="12" t="s">
        <v>701</v>
      </c>
      <c r="G10" s="12" t="s">
        <v>700</v>
      </c>
      <c r="H10" s="22"/>
      <c r="I10" s="24"/>
      <c r="J10" s="24"/>
    </row>
    <row r="11" spans="1:10" ht="62.25" customHeight="1" x14ac:dyDescent="0.2">
      <c r="A11" s="19" t="s">
        <v>766</v>
      </c>
      <c r="B11" s="20" t="s">
        <v>709</v>
      </c>
      <c r="C11" s="12" t="s">
        <v>710</v>
      </c>
      <c r="D11" s="21">
        <v>2210</v>
      </c>
      <c r="E11" s="12">
        <v>1758.24</v>
      </c>
      <c r="F11" s="12" t="s">
        <v>701</v>
      </c>
      <c r="G11" s="12" t="s">
        <v>700</v>
      </c>
      <c r="H11" s="22"/>
      <c r="I11" s="24"/>
      <c r="J11" s="24"/>
    </row>
    <row r="12" spans="1:10" ht="62.25" customHeight="1" x14ac:dyDescent="0.2">
      <c r="A12" s="19" t="s">
        <v>767</v>
      </c>
      <c r="B12" s="20" t="s">
        <v>709</v>
      </c>
      <c r="C12" s="12" t="s">
        <v>711</v>
      </c>
      <c r="D12" s="21">
        <v>2210</v>
      </c>
      <c r="E12" s="12">
        <v>870</v>
      </c>
      <c r="F12" s="12" t="s">
        <v>701</v>
      </c>
      <c r="G12" s="12" t="s">
        <v>700</v>
      </c>
      <c r="H12" s="22"/>
      <c r="I12" s="24"/>
      <c r="J12" s="24"/>
    </row>
    <row r="13" spans="1:10" ht="62.25" customHeight="1" x14ac:dyDescent="0.2">
      <c r="A13" s="19" t="s">
        <v>706</v>
      </c>
      <c r="B13" s="20" t="s">
        <v>702</v>
      </c>
      <c r="C13" s="12" t="s">
        <v>703</v>
      </c>
      <c r="D13" s="21">
        <v>2210</v>
      </c>
      <c r="E13" s="12">
        <v>2000</v>
      </c>
      <c r="F13" s="12" t="s">
        <v>701</v>
      </c>
      <c r="G13" s="12" t="s">
        <v>700</v>
      </c>
      <c r="H13" s="22"/>
      <c r="I13" s="24"/>
      <c r="J13" s="24"/>
    </row>
    <row r="14" spans="1:10" ht="62.25" customHeight="1" x14ac:dyDescent="0.2">
      <c r="A14" s="19" t="s">
        <v>712</v>
      </c>
      <c r="B14" s="20" t="s">
        <v>713</v>
      </c>
      <c r="C14" s="12" t="s">
        <v>714</v>
      </c>
      <c r="D14" s="21">
        <v>2210</v>
      </c>
      <c r="E14" s="12">
        <v>2400</v>
      </c>
      <c r="F14" s="12" t="s">
        <v>768</v>
      </c>
      <c r="G14" s="12" t="s">
        <v>700</v>
      </c>
      <c r="H14" s="22"/>
      <c r="I14" s="24"/>
      <c r="J14" s="24"/>
    </row>
    <row r="15" spans="1:10" ht="62.25" customHeight="1" x14ac:dyDescent="0.2">
      <c r="A15" s="19" t="s">
        <v>717</v>
      </c>
      <c r="B15" s="20" t="s">
        <v>716</v>
      </c>
      <c r="C15" s="12" t="s">
        <v>715</v>
      </c>
      <c r="D15" s="21">
        <v>2210</v>
      </c>
      <c r="E15" s="12">
        <v>668</v>
      </c>
      <c r="F15" s="12" t="s">
        <v>701</v>
      </c>
      <c r="G15" s="12" t="s">
        <v>700</v>
      </c>
      <c r="H15" s="22"/>
      <c r="I15" s="24"/>
      <c r="J15" s="24"/>
    </row>
    <row r="16" spans="1:10" ht="62.25" customHeight="1" x14ac:dyDescent="0.2">
      <c r="A16" s="19" t="s">
        <v>712</v>
      </c>
      <c r="B16" s="20" t="s">
        <v>718</v>
      </c>
      <c r="C16" s="12" t="s">
        <v>719</v>
      </c>
      <c r="D16" s="21">
        <v>2210</v>
      </c>
      <c r="E16" s="12">
        <v>249</v>
      </c>
      <c r="F16" s="12" t="s">
        <v>701</v>
      </c>
      <c r="G16" s="12" t="s">
        <v>700</v>
      </c>
      <c r="H16" s="22"/>
      <c r="I16" s="24"/>
      <c r="J16" s="24"/>
    </row>
    <row r="17" spans="1:10" ht="62.25" customHeight="1" x14ac:dyDescent="0.2">
      <c r="A17" s="19" t="s">
        <v>712</v>
      </c>
      <c r="B17" s="20" t="s">
        <v>713</v>
      </c>
      <c r="C17" s="12" t="s">
        <v>714</v>
      </c>
      <c r="D17" s="21">
        <v>2210</v>
      </c>
      <c r="E17" s="12">
        <v>7619.47</v>
      </c>
      <c r="F17" s="12" t="s">
        <v>768</v>
      </c>
      <c r="G17" s="12" t="s">
        <v>700</v>
      </c>
      <c r="H17" s="22"/>
      <c r="I17" s="24"/>
      <c r="J17" s="24"/>
    </row>
    <row r="18" spans="1:10" ht="75.75" customHeight="1" x14ac:dyDescent="0.2">
      <c r="A18" s="19" t="s">
        <v>769</v>
      </c>
      <c r="B18" s="19" t="s">
        <v>720</v>
      </c>
      <c r="C18" s="12" t="s">
        <v>721</v>
      </c>
      <c r="D18" s="21">
        <v>2220</v>
      </c>
      <c r="E18" s="12">
        <v>1328.94</v>
      </c>
      <c r="F18" s="12" t="s">
        <v>701</v>
      </c>
      <c r="G18" s="12" t="s">
        <v>700</v>
      </c>
      <c r="H18" s="22"/>
      <c r="I18" s="24"/>
      <c r="J18" s="24"/>
    </row>
    <row r="19" spans="1:10" ht="60" x14ac:dyDescent="0.2">
      <c r="A19" s="19" t="s">
        <v>770</v>
      </c>
      <c r="B19" s="19" t="s">
        <v>722</v>
      </c>
      <c r="C19" s="12" t="s">
        <v>721</v>
      </c>
      <c r="D19" s="21">
        <v>2220</v>
      </c>
      <c r="E19" s="12">
        <v>2072.59</v>
      </c>
      <c r="F19" s="12" t="s">
        <v>701</v>
      </c>
      <c r="G19" s="12" t="s">
        <v>700</v>
      </c>
      <c r="H19" s="22"/>
      <c r="I19" s="24"/>
      <c r="J19" s="24"/>
    </row>
    <row r="20" spans="1:10" ht="78.75" x14ac:dyDescent="0.2">
      <c r="A20" s="19" t="s">
        <v>771</v>
      </c>
      <c r="B20" s="19" t="s">
        <v>723</v>
      </c>
      <c r="C20" s="12" t="s">
        <v>724</v>
      </c>
      <c r="D20" s="21">
        <v>2220</v>
      </c>
      <c r="E20" s="12">
        <v>376.64</v>
      </c>
      <c r="F20" s="12" t="s">
        <v>701</v>
      </c>
      <c r="G20" s="12" t="s">
        <v>700</v>
      </c>
      <c r="H20" s="22"/>
      <c r="I20" s="24"/>
      <c r="J20" s="24"/>
    </row>
    <row r="21" spans="1:10" ht="150" x14ac:dyDescent="0.2">
      <c r="A21" s="19" t="s">
        <v>772</v>
      </c>
      <c r="B21" s="20" t="s">
        <v>725</v>
      </c>
      <c r="C21" s="12" t="s">
        <v>721</v>
      </c>
      <c r="D21" s="21">
        <v>2220</v>
      </c>
      <c r="E21" s="12">
        <v>252.52</v>
      </c>
      <c r="F21" s="12" t="s">
        <v>701</v>
      </c>
      <c r="G21" s="12" t="s">
        <v>700</v>
      </c>
      <c r="H21" s="22"/>
      <c r="I21" s="24"/>
      <c r="J21" s="24"/>
    </row>
    <row r="22" spans="1:10" ht="62.25" customHeight="1" x14ac:dyDescent="0.2">
      <c r="A22" s="19" t="s">
        <v>770</v>
      </c>
      <c r="B22" s="20" t="s">
        <v>726</v>
      </c>
      <c r="C22" s="12" t="s">
        <v>727</v>
      </c>
      <c r="D22" s="21">
        <v>2220</v>
      </c>
      <c r="E22" s="12">
        <v>2836.72</v>
      </c>
      <c r="F22" s="12" t="s">
        <v>701</v>
      </c>
      <c r="G22" s="12" t="s">
        <v>700</v>
      </c>
      <c r="H22" s="22"/>
      <c r="I22" s="24"/>
      <c r="J22" s="24"/>
    </row>
    <row r="23" spans="1:10" ht="62.25" customHeight="1" x14ac:dyDescent="0.2">
      <c r="A23" s="19" t="s">
        <v>770</v>
      </c>
      <c r="B23" s="20" t="s">
        <v>728</v>
      </c>
      <c r="C23" s="12" t="s">
        <v>729</v>
      </c>
      <c r="D23" s="21">
        <v>2220</v>
      </c>
      <c r="E23" s="12">
        <v>585.01</v>
      </c>
      <c r="F23" s="12" t="s">
        <v>701</v>
      </c>
      <c r="G23" s="12" t="s">
        <v>700</v>
      </c>
      <c r="H23" s="22"/>
      <c r="I23" s="24"/>
      <c r="J23" s="24"/>
    </row>
    <row r="24" spans="1:10" ht="62.25" customHeight="1" x14ac:dyDescent="0.2">
      <c r="A24" s="19" t="s">
        <v>773</v>
      </c>
      <c r="B24" s="20" t="s">
        <v>730</v>
      </c>
      <c r="C24" s="12" t="s">
        <v>731</v>
      </c>
      <c r="D24" s="21">
        <v>2210</v>
      </c>
      <c r="E24" s="12">
        <v>15</v>
      </c>
      <c r="F24" s="12" t="s">
        <v>701</v>
      </c>
      <c r="G24" s="12" t="s">
        <v>700</v>
      </c>
      <c r="H24" s="22"/>
      <c r="I24" s="24"/>
      <c r="J24" s="24"/>
    </row>
    <row r="25" spans="1:10" ht="62.25" customHeight="1" x14ac:dyDescent="0.2">
      <c r="A25" s="19" t="s">
        <v>774</v>
      </c>
      <c r="B25" s="19" t="s">
        <v>732</v>
      </c>
      <c r="C25" s="12" t="s">
        <v>733</v>
      </c>
      <c r="D25" s="21">
        <v>2210</v>
      </c>
      <c r="E25" s="12">
        <v>255</v>
      </c>
      <c r="F25" s="12" t="s">
        <v>701</v>
      </c>
      <c r="G25" s="12" t="s">
        <v>700</v>
      </c>
      <c r="H25" s="22"/>
      <c r="I25" s="24"/>
      <c r="J25" s="24"/>
    </row>
    <row r="26" spans="1:10" ht="62.25" customHeight="1" x14ac:dyDescent="0.2">
      <c r="A26" s="19" t="s">
        <v>775</v>
      </c>
      <c r="B26" s="20" t="s">
        <v>734</v>
      </c>
      <c r="C26" s="12" t="s">
        <v>735</v>
      </c>
      <c r="D26" s="21">
        <v>2210</v>
      </c>
      <c r="E26" s="12">
        <v>60</v>
      </c>
      <c r="F26" s="12" t="s">
        <v>701</v>
      </c>
      <c r="G26" s="12" t="s">
        <v>700</v>
      </c>
      <c r="H26" s="22"/>
      <c r="I26" s="24"/>
      <c r="J26" s="24"/>
    </row>
    <row r="27" spans="1:10" ht="62.25" customHeight="1" x14ac:dyDescent="0.2">
      <c r="A27" s="19" t="s">
        <v>776</v>
      </c>
      <c r="B27" s="20" t="s">
        <v>736</v>
      </c>
      <c r="C27" s="12" t="s">
        <v>737</v>
      </c>
      <c r="D27" s="21">
        <v>2210</v>
      </c>
      <c r="E27" s="12">
        <v>72</v>
      </c>
      <c r="F27" s="12" t="s">
        <v>701</v>
      </c>
      <c r="G27" s="12" t="s">
        <v>700</v>
      </c>
      <c r="H27" s="22"/>
      <c r="I27" s="24"/>
      <c r="J27" s="24"/>
    </row>
    <row r="28" spans="1:10" ht="62.25" customHeight="1" x14ac:dyDescent="0.2">
      <c r="A28" s="19" t="s">
        <v>777</v>
      </c>
      <c r="B28" s="20" t="s">
        <v>738</v>
      </c>
      <c r="C28" s="12" t="s">
        <v>739</v>
      </c>
      <c r="D28" s="21">
        <v>2210</v>
      </c>
      <c r="E28" s="12">
        <v>32</v>
      </c>
      <c r="F28" s="12" t="s">
        <v>701</v>
      </c>
      <c r="G28" s="12" t="s">
        <v>700</v>
      </c>
      <c r="H28" s="22"/>
      <c r="I28" s="24"/>
      <c r="J28" s="24"/>
    </row>
    <row r="29" spans="1:10" ht="62.25" customHeight="1" x14ac:dyDescent="0.2">
      <c r="A29" s="19" t="s">
        <v>778</v>
      </c>
      <c r="B29" s="20" t="s">
        <v>740</v>
      </c>
      <c r="C29" s="12" t="s">
        <v>741</v>
      </c>
      <c r="D29" s="21">
        <v>2210</v>
      </c>
      <c r="E29" s="12">
        <v>5.4</v>
      </c>
      <c r="F29" s="12" t="s">
        <v>701</v>
      </c>
      <c r="G29" s="12" t="s">
        <v>700</v>
      </c>
      <c r="H29" s="22"/>
      <c r="I29" s="24"/>
      <c r="J29" s="24"/>
    </row>
    <row r="30" spans="1:10" ht="62.25" customHeight="1" x14ac:dyDescent="0.2">
      <c r="A30" s="19" t="s">
        <v>779</v>
      </c>
      <c r="B30" s="20" t="s">
        <v>742</v>
      </c>
      <c r="C30" s="12" t="s">
        <v>743</v>
      </c>
      <c r="D30" s="21">
        <v>2210</v>
      </c>
      <c r="E30" s="12">
        <v>50</v>
      </c>
      <c r="F30" s="12" t="s">
        <v>701</v>
      </c>
      <c r="G30" s="12" t="s">
        <v>700</v>
      </c>
      <c r="H30" s="22"/>
      <c r="I30" s="24"/>
      <c r="J30" s="24"/>
    </row>
    <row r="31" spans="1:10" ht="62.25" customHeight="1" x14ac:dyDescent="0.2">
      <c r="A31" s="19" t="s">
        <v>780</v>
      </c>
      <c r="B31" s="20" t="s">
        <v>744</v>
      </c>
      <c r="C31" s="12" t="s">
        <v>745</v>
      </c>
      <c r="D31" s="21">
        <v>2210</v>
      </c>
      <c r="E31" s="12">
        <v>360</v>
      </c>
      <c r="F31" s="12" t="s">
        <v>701</v>
      </c>
      <c r="G31" s="12" t="s">
        <v>700</v>
      </c>
      <c r="H31" s="22"/>
      <c r="I31" s="24"/>
      <c r="J31" s="24"/>
    </row>
    <row r="32" spans="1:10" ht="62.25" customHeight="1" x14ac:dyDescent="0.2">
      <c r="A32" s="19" t="s">
        <v>781</v>
      </c>
      <c r="B32" s="20" t="s">
        <v>738</v>
      </c>
      <c r="C32" s="12" t="s">
        <v>739</v>
      </c>
      <c r="D32" s="21">
        <v>2210</v>
      </c>
      <c r="E32" s="12">
        <v>460</v>
      </c>
      <c r="F32" s="12" t="s">
        <v>701</v>
      </c>
      <c r="G32" s="12" t="s">
        <v>700</v>
      </c>
      <c r="H32" s="22"/>
      <c r="I32" s="24"/>
      <c r="J32" s="24"/>
    </row>
    <row r="33" spans="1:12" ht="62.25" customHeight="1" x14ac:dyDescent="0.2">
      <c r="A33" s="19" t="s">
        <v>782</v>
      </c>
      <c r="B33" s="20" t="s">
        <v>746</v>
      </c>
      <c r="C33" s="12" t="s">
        <v>747</v>
      </c>
      <c r="D33" s="21">
        <v>2210</v>
      </c>
      <c r="E33" s="12">
        <v>115</v>
      </c>
      <c r="F33" s="12" t="s">
        <v>701</v>
      </c>
      <c r="G33" s="12" t="s">
        <v>700</v>
      </c>
      <c r="H33" s="22"/>
      <c r="I33" s="24"/>
      <c r="J33" s="24"/>
    </row>
    <row r="34" spans="1:12" ht="62.25" customHeight="1" x14ac:dyDescent="0.2">
      <c r="A34" s="19" t="s">
        <v>783</v>
      </c>
      <c r="B34" s="20" t="s">
        <v>748</v>
      </c>
      <c r="C34" s="12" t="s">
        <v>749</v>
      </c>
      <c r="D34" s="21">
        <v>2210</v>
      </c>
      <c r="E34" s="12">
        <v>6</v>
      </c>
      <c r="F34" s="12" t="s">
        <v>701</v>
      </c>
      <c r="G34" s="12" t="s">
        <v>700</v>
      </c>
      <c r="H34" s="22"/>
      <c r="I34" s="24"/>
      <c r="J34" s="24"/>
    </row>
    <row r="35" spans="1:12" ht="62.25" customHeight="1" x14ac:dyDescent="0.2">
      <c r="A35" s="19" t="s">
        <v>822</v>
      </c>
      <c r="B35" s="20" t="s">
        <v>750</v>
      </c>
      <c r="C35" s="12" t="s">
        <v>751</v>
      </c>
      <c r="D35" s="21">
        <v>2210</v>
      </c>
      <c r="E35" s="12">
        <v>90</v>
      </c>
      <c r="F35" s="12" t="s">
        <v>701</v>
      </c>
      <c r="G35" s="12" t="s">
        <v>700</v>
      </c>
      <c r="H35" s="22"/>
      <c r="I35" s="24"/>
      <c r="J35" s="24"/>
    </row>
    <row r="36" spans="1:12" ht="62.25" customHeight="1" x14ac:dyDescent="0.2">
      <c r="A36" s="19" t="s">
        <v>823</v>
      </c>
      <c r="B36" s="20" t="s">
        <v>752</v>
      </c>
      <c r="C36" s="12" t="s">
        <v>753</v>
      </c>
      <c r="D36" s="21">
        <v>2210</v>
      </c>
      <c r="E36" s="12">
        <v>157</v>
      </c>
      <c r="F36" s="12" t="s">
        <v>701</v>
      </c>
      <c r="G36" s="12" t="s">
        <v>700</v>
      </c>
      <c r="H36" s="22"/>
      <c r="I36" s="24"/>
      <c r="J36" s="24"/>
    </row>
    <row r="37" spans="1:12" ht="62.25" customHeight="1" x14ac:dyDescent="0.2">
      <c r="A37" s="19" t="s">
        <v>784</v>
      </c>
      <c r="B37" s="20" t="s">
        <v>754</v>
      </c>
      <c r="C37" s="12" t="s">
        <v>755</v>
      </c>
      <c r="D37" s="21">
        <v>2210</v>
      </c>
      <c r="E37" s="12">
        <v>80</v>
      </c>
      <c r="F37" s="12" t="s">
        <v>701</v>
      </c>
      <c r="G37" s="12" t="s">
        <v>700</v>
      </c>
      <c r="H37" s="22"/>
      <c r="I37" s="24"/>
      <c r="J37" s="24"/>
    </row>
    <row r="38" spans="1:12" ht="62.25" customHeight="1" x14ac:dyDescent="0.2">
      <c r="A38" s="19" t="s">
        <v>785</v>
      </c>
      <c r="B38" s="20" t="s">
        <v>756</v>
      </c>
      <c r="C38" s="12" t="s">
        <v>757</v>
      </c>
      <c r="D38" s="21">
        <v>2210</v>
      </c>
      <c r="E38" s="12">
        <v>225</v>
      </c>
      <c r="F38" s="12" t="s">
        <v>701</v>
      </c>
      <c r="G38" s="12" t="s">
        <v>700</v>
      </c>
      <c r="H38" s="22"/>
      <c r="I38" s="24"/>
      <c r="J38" s="24"/>
    </row>
    <row r="39" spans="1:12" ht="62.25" customHeight="1" x14ac:dyDescent="0.2">
      <c r="A39" s="19" t="s">
        <v>786</v>
      </c>
      <c r="B39" s="20" t="s">
        <v>758</v>
      </c>
      <c r="C39" s="12" t="s">
        <v>759</v>
      </c>
      <c r="D39" s="21">
        <v>2210</v>
      </c>
      <c r="E39" s="12">
        <v>136</v>
      </c>
      <c r="F39" s="12" t="s">
        <v>701</v>
      </c>
      <c r="G39" s="12" t="s">
        <v>700</v>
      </c>
      <c r="H39" s="22"/>
      <c r="I39" s="24"/>
      <c r="J39" s="24"/>
    </row>
    <row r="40" spans="1:12" ht="62.25" customHeight="1" x14ac:dyDescent="0.2">
      <c r="A40" s="19" t="s">
        <v>787</v>
      </c>
      <c r="B40" s="19" t="s">
        <v>732</v>
      </c>
      <c r="C40" s="12" t="s">
        <v>760</v>
      </c>
      <c r="D40" s="21">
        <v>2210</v>
      </c>
      <c r="E40" s="12">
        <v>161</v>
      </c>
      <c r="F40" s="12" t="s">
        <v>701</v>
      </c>
      <c r="G40" s="12" t="s">
        <v>700</v>
      </c>
      <c r="H40" s="22"/>
      <c r="I40" s="24"/>
      <c r="J40" s="24"/>
    </row>
    <row r="41" spans="1:12" ht="62.25" customHeight="1" x14ac:dyDescent="0.2">
      <c r="A41" s="19" t="s">
        <v>788</v>
      </c>
      <c r="B41" s="19" t="s">
        <v>761</v>
      </c>
      <c r="C41" s="12" t="s">
        <v>762</v>
      </c>
      <c r="D41" s="21">
        <v>2210</v>
      </c>
      <c r="E41" s="12">
        <v>218</v>
      </c>
      <c r="F41" s="12" t="s">
        <v>701</v>
      </c>
      <c r="G41" s="12" t="s">
        <v>700</v>
      </c>
      <c r="H41" s="22"/>
      <c r="I41" s="24"/>
      <c r="J41" s="24"/>
    </row>
    <row r="42" spans="1:12" ht="62.25" customHeight="1" x14ac:dyDescent="0.2">
      <c r="A42" s="19" t="s">
        <v>789</v>
      </c>
      <c r="B42" s="20" t="s">
        <v>697</v>
      </c>
      <c r="C42" s="12" t="s">
        <v>763</v>
      </c>
      <c r="D42" s="21">
        <v>2210</v>
      </c>
      <c r="E42" s="12">
        <v>120</v>
      </c>
      <c r="F42" s="12" t="s">
        <v>701</v>
      </c>
      <c r="G42" s="12" t="s">
        <v>700</v>
      </c>
      <c r="H42" s="22"/>
      <c r="I42" s="24"/>
      <c r="J42" s="24"/>
    </row>
    <row r="43" spans="1:12" ht="62.25" customHeight="1" x14ac:dyDescent="0.2">
      <c r="A43" s="19" t="s">
        <v>790</v>
      </c>
      <c r="B43" s="20" t="s">
        <v>791</v>
      </c>
      <c r="C43" s="12" t="s">
        <v>792</v>
      </c>
      <c r="D43" s="21">
        <v>2210</v>
      </c>
      <c r="E43" s="12">
        <v>2001</v>
      </c>
      <c r="F43" s="12" t="s">
        <v>701</v>
      </c>
      <c r="G43" s="12" t="s">
        <v>700</v>
      </c>
      <c r="H43" s="22"/>
      <c r="I43" s="24"/>
      <c r="J43" s="24"/>
    </row>
    <row r="44" spans="1:12" ht="62.25" customHeight="1" x14ac:dyDescent="0.2">
      <c r="A44" s="19" t="s">
        <v>793</v>
      </c>
      <c r="B44" s="20" t="s">
        <v>794</v>
      </c>
      <c r="C44" s="12" t="s">
        <v>795</v>
      </c>
      <c r="D44" s="21">
        <v>2210</v>
      </c>
      <c r="E44" s="12">
        <v>4000</v>
      </c>
      <c r="F44" s="12" t="s">
        <v>701</v>
      </c>
      <c r="G44" s="12" t="s">
        <v>700</v>
      </c>
      <c r="H44" s="22"/>
      <c r="I44" s="24"/>
      <c r="J44" s="24"/>
    </row>
    <row r="45" spans="1:12" ht="20.25" customHeight="1" thickBot="1" x14ac:dyDescent="0.25">
      <c r="A45" s="139" t="s">
        <v>696</v>
      </c>
      <c r="B45" s="140"/>
      <c r="C45" s="140"/>
      <c r="D45" s="140"/>
      <c r="E45" s="140"/>
      <c r="F45" s="141"/>
      <c r="G45" s="141"/>
      <c r="H45" s="142"/>
    </row>
    <row r="46" spans="1:12" ht="38.25" customHeight="1" x14ac:dyDescent="0.25">
      <c r="A46" s="66"/>
      <c r="B46" s="77"/>
      <c r="C46" s="66"/>
      <c r="D46" s="67"/>
      <c r="E46" s="4"/>
      <c r="F46" s="4"/>
      <c r="G46" s="4"/>
      <c r="H46" s="65"/>
    </row>
    <row r="47" spans="1:12" s="5" customFormat="1" ht="38.25" customHeight="1" x14ac:dyDescent="0.2">
      <c r="A47" s="3"/>
      <c r="B47" s="78"/>
      <c r="C47" s="3"/>
      <c r="D47" s="3"/>
      <c r="E47" s="75"/>
      <c r="F47" s="3"/>
      <c r="G47" s="3"/>
      <c r="H47" s="3"/>
      <c r="I47" s="3"/>
      <c r="J47" s="3"/>
      <c r="K47" s="3"/>
      <c r="L47" s="3"/>
    </row>
    <row r="48" spans="1:12" s="5" customFormat="1" ht="38.25" customHeight="1" x14ac:dyDescent="0.2">
      <c r="A48" s="3"/>
      <c r="B48" s="78"/>
      <c r="C48" s="3"/>
      <c r="D48" s="3"/>
      <c r="E48" s="75"/>
      <c r="F48" s="3"/>
      <c r="G48" s="3"/>
      <c r="H48" s="3"/>
      <c r="I48" s="3"/>
      <c r="J48" s="3"/>
      <c r="K48" s="3"/>
      <c r="L48" s="3"/>
    </row>
    <row r="49" spans="1:12" s="5" customFormat="1" ht="38.25" customHeight="1" x14ac:dyDescent="0.2">
      <c r="A49" s="3"/>
      <c r="B49" s="78"/>
      <c r="C49" s="3"/>
      <c r="D49" s="3"/>
      <c r="E49" s="75"/>
      <c r="F49" s="3"/>
      <c r="G49" s="3"/>
      <c r="H49" s="3"/>
      <c r="I49" s="3"/>
      <c r="J49" s="3"/>
      <c r="K49" s="3"/>
      <c r="L49" s="3"/>
    </row>
    <row r="50" spans="1:12" s="5" customFormat="1" ht="38.25" customHeight="1" x14ac:dyDescent="0.2">
      <c r="A50" s="3"/>
      <c r="B50" s="78"/>
      <c r="C50" s="3"/>
      <c r="D50" s="3"/>
      <c r="E50" s="75"/>
      <c r="F50" s="3"/>
      <c r="G50" s="3"/>
      <c r="H50" s="3"/>
      <c r="I50" s="3"/>
      <c r="J50" s="3"/>
      <c r="K50" s="3"/>
      <c r="L50" s="3"/>
    </row>
  </sheetData>
  <mergeCells count="14">
    <mergeCell ref="H4:H5"/>
    <mergeCell ref="I5:I6"/>
    <mergeCell ref="A7:D7"/>
    <mergeCell ref="A45:H45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7.874015748031496E-2" top="0.43307086614173229" bottom="0.19685039370078741" header="0.27559055118110237" footer="0.23622047244094491"/>
  <pageSetup paperSize="9" scale="60" orientation="portrait" horizontalDpi="200" verticalDpi="200" r:id="rId1"/>
  <headerFooter scaleWithDoc="0">
    <oddHeader>&amp;C&amp;P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20"/>
  <sheetViews>
    <sheetView view="pageBreakPreview" topLeftCell="A122" zoomScaleNormal="100" zoomScaleSheetLayoutView="100" workbookViewId="0">
      <selection activeCell="AJ124" sqref="AJ124"/>
    </sheetView>
  </sheetViews>
  <sheetFormatPr defaultRowHeight="38.25" customHeight="1" x14ac:dyDescent="0.2"/>
  <cols>
    <col min="1" max="1" width="47.5703125" style="3" customWidth="1"/>
    <col min="2" max="2" width="10" style="3" hidden="1" customWidth="1"/>
    <col min="3" max="3" width="9" style="3" customWidth="1"/>
    <col min="4" max="4" width="11.42578125" style="3" hidden="1" customWidth="1"/>
    <col min="5" max="5" width="12.42578125" style="3" hidden="1" customWidth="1"/>
    <col min="6" max="6" width="10.5703125" style="3" hidden="1" customWidth="1"/>
    <col min="7" max="7" width="5.5703125" style="3" hidden="1" customWidth="1"/>
    <col min="8" max="8" width="10.7109375" style="3" hidden="1" customWidth="1"/>
    <col min="9" max="9" width="9.28515625" style="3" hidden="1" customWidth="1"/>
    <col min="10" max="10" width="9.42578125" style="3" hidden="1" customWidth="1"/>
    <col min="11" max="11" width="11.28515625" style="3" hidden="1" customWidth="1"/>
    <col min="12" max="12" width="9.5703125" style="3" hidden="1" customWidth="1"/>
    <col min="13" max="13" width="9.28515625" style="3" hidden="1" customWidth="1"/>
    <col min="14" max="14" width="8.7109375" style="3" hidden="1" customWidth="1"/>
    <col min="15" max="15" width="13.42578125" style="3" hidden="1" customWidth="1"/>
    <col min="16" max="16" width="13.7109375" style="3" hidden="1" customWidth="1"/>
    <col min="17" max="17" width="8" style="3" hidden="1" customWidth="1"/>
    <col min="18" max="18" width="11.7109375" style="3" hidden="1" customWidth="1"/>
    <col min="19" max="24" width="15.5703125" style="3" hidden="1" customWidth="1"/>
    <col min="25" max="26" width="11.85546875" style="3" hidden="1" customWidth="1"/>
    <col min="27" max="27" width="10.7109375" style="3" hidden="1" customWidth="1"/>
    <col min="28" max="28" width="12" style="3" hidden="1" customWidth="1"/>
    <col min="29" max="30" width="11.85546875" style="3" hidden="1" customWidth="1"/>
    <col min="31" max="31" width="14.5703125" style="3" hidden="1" customWidth="1"/>
    <col min="32" max="32" width="27.7109375" style="5" customWidth="1"/>
    <col min="33" max="33" width="15.85546875" style="44" customWidth="1"/>
    <col min="34" max="34" width="15.85546875" style="3" customWidth="1"/>
    <col min="35" max="35" width="14.140625" style="3" customWidth="1"/>
    <col min="36" max="36" width="41" style="3" customWidth="1"/>
    <col min="37" max="37" width="10.140625" style="12" customWidth="1"/>
    <col min="38" max="38" width="10.85546875" style="5" customWidth="1"/>
    <col min="39" max="39" width="16.85546875" style="3" customWidth="1"/>
    <col min="40" max="40" width="19.85546875" style="3" customWidth="1"/>
    <col min="41" max="41" width="9.140625" style="3"/>
    <col min="42" max="42" width="11.140625" style="3" customWidth="1"/>
    <col min="43" max="44" width="9.140625" style="3" customWidth="1"/>
    <col min="45" max="16384" width="9.140625" style="3"/>
  </cols>
  <sheetData>
    <row r="1" spans="1:42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"/>
      <c r="AL1" s="2"/>
    </row>
    <row r="2" spans="1:42" ht="30" customHeight="1" x14ac:dyDescent="0.2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2"/>
      <c r="AL2" s="2"/>
    </row>
    <row r="3" spans="1:42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4"/>
    </row>
    <row r="4" spans="1:42" ht="38.25" customHeight="1" thickBot="1" x14ac:dyDescent="0.25">
      <c r="A4" s="144" t="s">
        <v>3</v>
      </c>
      <c r="B4" s="147"/>
      <c r="C4" s="147" t="s">
        <v>4</v>
      </c>
      <c r="D4" s="147" t="s">
        <v>5</v>
      </c>
      <c r="E4" s="147"/>
      <c r="F4" s="150" t="s">
        <v>6</v>
      </c>
      <c r="G4" s="147" t="s">
        <v>7</v>
      </c>
      <c r="H4" s="147" t="s">
        <v>8</v>
      </c>
      <c r="I4" s="147" t="s">
        <v>9</v>
      </c>
      <c r="J4" s="147" t="s">
        <v>10</v>
      </c>
      <c r="K4" s="147" t="s">
        <v>11</v>
      </c>
      <c r="L4" s="147" t="s">
        <v>12</v>
      </c>
      <c r="M4" s="147" t="s">
        <v>13</v>
      </c>
      <c r="N4" s="147" t="s">
        <v>14</v>
      </c>
      <c r="O4" s="147" t="s">
        <v>15</v>
      </c>
      <c r="P4" s="147" t="s">
        <v>16</v>
      </c>
      <c r="Q4" s="147" t="s">
        <v>17</v>
      </c>
      <c r="R4" s="147" t="s">
        <v>18</v>
      </c>
      <c r="S4" s="147" t="s">
        <v>19</v>
      </c>
      <c r="T4" s="147" t="s">
        <v>20</v>
      </c>
      <c r="U4" s="147" t="s">
        <v>21</v>
      </c>
      <c r="V4" s="147" t="s">
        <v>22</v>
      </c>
      <c r="W4" s="147" t="s">
        <v>23</v>
      </c>
      <c r="X4" s="147" t="s">
        <v>24</v>
      </c>
      <c r="Y4" s="147" t="s">
        <v>25</v>
      </c>
      <c r="Z4" s="147" t="s">
        <v>26</v>
      </c>
      <c r="AA4" s="147" t="s">
        <v>27</v>
      </c>
      <c r="AB4" s="147" t="s">
        <v>28</v>
      </c>
      <c r="AC4" s="147" t="s">
        <v>29</v>
      </c>
      <c r="AD4" s="147" t="s">
        <v>30</v>
      </c>
      <c r="AE4" s="147" t="s">
        <v>31</v>
      </c>
      <c r="AF4" s="150" t="s">
        <v>32</v>
      </c>
      <c r="AG4" s="6"/>
      <c r="AH4" s="150" t="s">
        <v>33</v>
      </c>
      <c r="AI4" s="150" t="s">
        <v>34</v>
      </c>
      <c r="AJ4" s="134" t="s">
        <v>7</v>
      </c>
      <c r="AK4" s="4"/>
    </row>
    <row r="5" spans="1:42" ht="56.25" customHeight="1" x14ac:dyDescent="0.2">
      <c r="A5" s="137"/>
      <c r="B5" s="138"/>
      <c r="C5" s="138"/>
      <c r="D5" s="7" t="s">
        <v>35</v>
      </c>
      <c r="E5" s="8" t="s">
        <v>36</v>
      </c>
      <c r="F5" s="151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51"/>
      <c r="AG5" s="9"/>
      <c r="AH5" s="151"/>
      <c r="AI5" s="151"/>
      <c r="AJ5" s="135"/>
      <c r="AK5" s="10" t="s">
        <v>37</v>
      </c>
      <c r="AL5" s="10" t="s">
        <v>38</v>
      </c>
      <c r="AM5" s="136"/>
    </row>
    <row r="6" spans="1:42" ht="15.75" customHeight="1" x14ac:dyDescent="0.2">
      <c r="A6" s="158">
        <v>1</v>
      </c>
      <c r="B6" s="159"/>
      <c r="C6" s="11">
        <v>2</v>
      </c>
      <c r="D6" s="11">
        <v>4</v>
      </c>
      <c r="E6" s="11">
        <v>5</v>
      </c>
      <c r="F6" s="11">
        <v>6</v>
      </c>
      <c r="G6" s="11">
        <v>7</v>
      </c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4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1">
        <v>3</v>
      </c>
      <c r="AG6" s="12"/>
      <c r="AH6" s="11">
        <v>4</v>
      </c>
      <c r="AI6" s="11">
        <v>5</v>
      </c>
      <c r="AJ6" s="15">
        <v>6</v>
      </c>
      <c r="AK6" s="4"/>
      <c r="AM6" s="136"/>
    </row>
    <row r="7" spans="1:42" ht="15" x14ac:dyDescent="0.2">
      <c r="A7" s="137" t="s">
        <v>39</v>
      </c>
      <c r="B7" s="138"/>
      <c r="C7" s="138"/>
      <c r="D7" s="138"/>
      <c r="E7" s="138"/>
      <c r="F7" s="138"/>
      <c r="G7" s="138"/>
      <c r="H7" s="12"/>
      <c r="I7" s="12"/>
      <c r="J7" s="12"/>
      <c r="K7" s="13"/>
      <c r="L7" s="1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6"/>
      <c r="AG7" s="14"/>
      <c r="AH7" s="14"/>
      <c r="AI7" s="14"/>
      <c r="AJ7" s="17"/>
      <c r="AK7" s="4"/>
      <c r="AL7" s="18"/>
    </row>
    <row r="8" spans="1:42" s="23" customFormat="1" ht="90" customHeight="1" x14ac:dyDescent="0.2">
      <c r="A8" s="19" t="s">
        <v>40</v>
      </c>
      <c r="B8" s="20" t="s">
        <v>41</v>
      </c>
      <c r="C8" s="21">
        <v>2210</v>
      </c>
      <c r="D8" s="11">
        <v>2210</v>
      </c>
      <c r="E8" s="8"/>
      <c r="F8" s="8"/>
      <c r="G8" s="8"/>
      <c r="H8" s="8"/>
      <c r="I8" s="12"/>
      <c r="J8" s="12"/>
      <c r="K8" s="12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21" t="s">
        <v>42</v>
      </c>
      <c r="AG8" s="12">
        <f>600-138.4</f>
        <v>461.6</v>
      </c>
      <c r="AH8" s="12"/>
      <c r="AI8" s="14"/>
      <c r="AJ8" s="22"/>
      <c r="AK8" s="12">
        <f>120.6+341</f>
        <v>461.6</v>
      </c>
      <c r="AL8" s="12">
        <f>AG8-AK8</f>
        <v>0</v>
      </c>
      <c r="AM8" s="3"/>
      <c r="AN8" s="3"/>
      <c r="AO8" s="3"/>
      <c r="AP8" s="3"/>
    </row>
    <row r="9" spans="1:42" ht="60" x14ac:dyDescent="0.2">
      <c r="A9" s="19" t="s">
        <v>43</v>
      </c>
      <c r="B9" s="12" t="s">
        <v>44</v>
      </c>
      <c r="C9" s="21">
        <v>2210</v>
      </c>
      <c r="D9" s="12"/>
      <c r="E9" s="12"/>
      <c r="F9" s="12"/>
      <c r="G9" s="13"/>
      <c r="H9" s="12"/>
      <c r="I9" s="12"/>
      <c r="J9" s="12"/>
      <c r="K9" s="13"/>
      <c r="L9" s="13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21" t="s">
        <v>45</v>
      </c>
      <c r="AG9" s="12">
        <f>36-3</f>
        <v>33</v>
      </c>
      <c r="AH9" s="12"/>
      <c r="AI9" s="12"/>
      <c r="AJ9" s="22"/>
      <c r="AK9" s="12">
        <v>33</v>
      </c>
      <c r="AL9" s="12">
        <f t="shared" ref="AL9:AL73" si="0">AG9-AK9</f>
        <v>0</v>
      </c>
      <c r="AM9" s="24"/>
      <c r="AN9" s="24"/>
    </row>
    <row r="10" spans="1:42" ht="63.75" customHeight="1" x14ac:dyDescent="0.2">
      <c r="A10" s="19" t="s">
        <v>46</v>
      </c>
      <c r="B10" s="12"/>
      <c r="C10" s="21">
        <v>2210</v>
      </c>
      <c r="D10" s="12"/>
      <c r="E10" s="12"/>
      <c r="F10" s="12"/>
      <c r="G10" s="13"/>
      <c r="H10" s="12"/>
      <c r="I10" s="12"/>
      <c r="J10" s="12"/>
      <c r="K10" s="13"/>
      <c r="L10" s="13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 t="s">
        <v>47</v>
      </c>
      <c r="AG10" s="12">
        <v>19.3</v>
      </c>
      <c r="AH10" s="12"/>
      <c r="AI10" s="12"/>
      <c r="AJ10" s="22"/>
      <c r="AK10" s="12">
        <v>19.3</v>
      </c>
      <c r="AL10" s="12">
        <f t="shared" si="0"/>
        <v>0</v>
      </c>
      <c r="AM10" s="24"/>
      <c r="AN10" s="24"/>
    </row>
    <row r="11" spans="1:42" ht="93" customHeight="1" x14ac:dyDescent="0.2">
      <c r="A11" s="19" t="s">
        <v>48</v>
      </c>
      <c r="B11" s="21" t="s">
        <v>49</v>
      </c>
      <c r="C11" s="21">
        <v>2210</v>
      </c>
      <c r="D11" s="12">
        <f>3*7.95+14*8</f>
        <v>135.85</v>
      </c>
      <c r="E11" s="12"/>
      <c r="F11" s="12">
        <f t="shared" ref="F11" si="1">D11+E11</f>
        <v>135.85</v>
      </c>
      <c r="G11" s="7"/>
      <c r="H11" s="12"/>
      <c r="I11" s="12"/>
      <c r="J11" s="12"/>
      <c r="K11" s="13"/>
      <c r="L11" s="13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>
        <v>37.85</v>
      </c>
      <c r="Y11" s="12"/>
      <c r="Z11" s="12"/>
      <c r="AA11" s="12"/>
      <c r="AB11" s="12"/>
      <c r="AC11" s="12"/>
      <c r="AD11" s="12"/>
      <c r="AE11" s="12"/>
      <c r="AF11" s="12" t="s">
        <v>50</v>
      </c>
      <c r="AG11" s="12">
        <v>25.2</v>
      </c>
      <c r="AH11" s="12"/>
      <c r="AI11" s="12"/>
      <c r="AJ11" s="22"/>
      <c r="AK11" s="12">
        <v>25.2</v>
      </c>
      <c r="AL11" s="12">
        <f t="shared" si="0"/>
        <v>0</v>
      </c>
      <c r="AM11" s="4"/>
    </row>
    <row r="12" spans="1:42" ht="92.25" customHeight="1" x14ac:dyDescent="0.2">
      <c r="A12" s="19" t="s">
        <v>51</v>
      </c>
      <c r="B12" s="20"/>
      <c r="C12" s="21">
        <v>2210</v>
      </c>
      <c r="D12" s="20"/>
      <c r="E12" s="20"/>
      <c r="F12" s="12"/>
      <c r="G12" s="13"/>
      <c r="H12" s="12"/>
      <c r="I12" s="12"/>
      <c r="J12" s="12"/>
      <c r="K12" s="13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21" t="s">
        <v>52</v>
      </c>
      <c r="AG12" s="12">
        <v>72</v>
      </c>
      <c r="AH12" s="12"/>
      <c r="AI12" s="12"/>
      <c r="AJ12" s="22"/>
      <c r="AK12" s="12">
        <v>72</v>
      </c>
      <c r="AL12" s="12">
        <f t="shared" si="0"/>
        <v>0</v>
      </c>
      <c r="AM12" s="24"/>
      <c r="AN12" s="24"/>
    </row>
    <row r="13" spans="1:42" ht="63" customHeight="1" x14ac:dyDescent="0.2">
      <c r="A13" s="19" t="s">
        <v>53</v>
      </c>
      <c r="B13" s="12"/>
      <c r="C13" s="21">
        <v>2210</v>
      </c>
      <c r="D13" s="12"/>
      <c r="E13" s="12"/>
      <c r="F13" s="12"/>
      <c r="G13" s="13"/>
      <c r="H13" s="12"/>
      <c r="I13" s="12"/>
      <c r="J13" s="12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 t="s">
        <v>54</v>
      </c>
      <c r="AG13" s="12">
        <v>280</v>
      </c>
      <c r="AH13" s="12"/>
      <c r="AI13" s="12"/>
      <c r="AJ13" s="22"/>
      <c r="AK13" s="25">
        <v>280</v>
      </c>
      <c r="AL13" s="12">
        <f t="shared" si="0"/>
        <v>0</v>
      </c>
      <c r="AM13" s="24"/>
      <c r="AN13" s="24"/>
    </row>
    <row r="14" spans="1:42" ht="75" x14ac:dyDescent="0.2">
      <c r="A14" s="19" t="s">
        <v>55</v>
      </c>
      <c r="B14" s="12" t="s">
        <v>56</v>
      </c>
      <c r="C14" s="21">
        <v>2210</v>
      </c>
      <c r="D14" s="12"/>
      <c r="E14" s="26"/>
      <c r="F14" s="12"/>
      <c r="G14" s="27"/>
      <c r="H14" s="9"/>
      <c r="I14" s="12">
        <v>364</v>
      </c>
      <c r="J14" s="12"/>
      <c r="K14" s="13"/>
      <c r="L14" s="13"/>
      <c r="M14" s="12"/>
      <c r="N14" s="12">
        <v>116</v>
      </c>
      <c r="O14" s="12"/>
      <c r="P14" s="12"/>
      <c r="Q14" s="12"/>
      <c r="R14" s="12"/>
      <c r="S14" s="12"/>
      <c r="T14" s="12">
        <f>262.26+605</f>
        <v>867.26</v>
      </c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21" t="s">
        <v>57</v>
      </c>
      <c r="AG14" s="12">
        <f>500+750+200+100</f>
        <v>1550</v>
      </c>
      <c r="AH14" s="12"/>
      <c r="AI14" s="12"/>
      <c r="AJ14" s="22"/>
      <c r="AK14" s="25">
        <f>500+750+300</f>
        <v>1550</v>
      </c>
      <c r="AL14" s="12">
        <f t="shared" si="0"/>
        <v>0</v>
      </c>
    </row>
    <row r="15" spans="1:42" ht="68.25" customHeight="1" x14ac:dyDescent="0.2">
      <c r="A15" s="19" t="s">
        <v>58</v>
      </c>
      <c r="B15" s="12"/>
      <c r="C15" s="21">
        <v>2210</v>
      </c>
      <c r="D15" s="12"/>
      <c r="E15" s="12"/>
      <c r="F15" s="12"/>
      <c r="G15" s="13"/>
      <c r="H15" s="12"/>
      <c r="I15" s="12"/>
      <c r="J15" s="12"/>
      <c r="K15" s="13"/>
      <c r="L15" s="13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 t="s">
        <v>59</v>
      </c>
      <c r="AG15" s="12">
        <f>50+100</f>
        <v>150</v>
      </c>
      <c r="AH15" s="12"/>
      <c r="AI15" s="12"/>
      <c r="AJ15" s="22"/>
      <c r="AK15" s="25">
        <v>150</v>
      </c>
      <c r="AL15" s="12">
        <f t="shared" si="0"/>
        <v>0</v>
      </c>
      <c r="AM15" s="24"/>
      <c r="AN15" s="24"/>
    </row>
    <row r="16" spans="1:42" ht="74.25" customHeight="1" x14ac:dyDescent="0.2">
      <c r="A16" s="19" t="s">
        <v>60</v>
      </c>
      <c r="B16" s="12"/>
      <c r="C16" s="21">
        <v>2210</v>
      </c>
      <c r="D16" s="12"/>
      <c r="E16" s="12"/>
      <c r="F16" s="12"/>
      <c r="G16" s="13"/>
      <c r="H16" s="12"/>
      <c r="I16" s="12"/>
      <c r="J16" s="12"/>
      <c r="K16" s="13"/>
      <c r="L16" s="13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 t="s">
        <v>61</v>
      </c>
      <c r="AG16" s="12">
        <v>143.63999999999999</v>
      </c>
      <c r="AH16" s="12"/>
      <c r="AI16" s="12"/>
      <c r="AJ16" s="22"/>
      <c r="AK16" s="12">
        <v>143.63999999999999</v>
      </c>
      <c r="AL16" s="12">
        <f t="shared" si="0"/>
        <v>0</v>
      </c>
      <c r="AM16" s="24"/>
      <c r="AN16" s="24"/>
    </row>
    <row r="17" spans="1:42" ht="74.25" customHeight="1" x14ac:dyDescent="0.2">
      <c r="A17" s="19" t="s">
        <v>62</v>
      </c>
      <c r="B17" s="12"/>
      <c r="C17" s="21">
        <v>2210</v>
      </c>
      <c r="D17" s="12"/>
      <c r="E17" s="12"/>
      <c r="F17" s="12"/>
      <c r="G17" s="13"/>
      <c r="H17" s="12"/>
      <c r="I17" s="12"/>
      <c r="J17" s="12"/>
      <c r="K17" s="13"/>
      <c r="L17" s="13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 t="s">
        <v>63</v>
      </c>
      <c r="AG17" s="12">
        <f>135+2.44</f>
        <v>137.44</v>
      </c>
      <c r="AH17" s="12"/>
      <c r="AI17" s="12"/>
      <c r="AJ17" s="22"/>
      <c r="AK17" s="12">
        <v>137.44</v>
      </c>
      <c r="AL17" s="12">
        <f t="shared" si="0"/>
        <v>0</v>
      </c>
      <c r="AM17" s="24"/>
      <c r="AN17" s="24"/>
    </row>
    <row r="18" spans="1:42" ht="74.25" customHeight="1" x14ac:dyDescent="0.2">
      <c r="A18" s="19" t="s">
        <v>64</v>
      </c>
      <c r="B18" s="12"/>
      <c r="C18" s="21">
        <v>2210</v>
      </c>
      <c r="D18" s="12"/>
      <c r="E18" s="12"/>
      <c r="F18" s="12"/>
      <c r="G18" s="13"/>
      <c r="H18" s="12"/>
      <c r="I18" s="12"/>
      <c r="J18" s="12"/>
      <c r="K18" s="13"/>
      <c r="L18" s="13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 t="s">
        <v>65</v>
      </c>
      <c r="AG18" s="12">
        <v>51.57</v>
      </c>
      <c r="AH18" s="12"/>
      <c r="AI18" s="12"/>
      <c r="AJ18" s="22"/>
      <c r="AK18" s="25">
        <v>51.57</v>
      </c>
      <c r="AL18" s="12">
        <f t="shared" si="0"/>
        <v>0</v>
      </c>
      <c r="AM18" s="24"/>
      <c r="AN18" s="24"/>
    </row>
    <row r="19" spans="1:42" ht="75" x14ac:dyDescent="0.2">
      <c r="A19" s="19" t="s">
        <v>66</v>
      </c>
      <c r="B19" s="12"/>
      <c r="C19" s="21">
        <v>2210</v>
      </c>
      <c r="D19" s="12"/>
      <c r="E19" s="12"/>
      <c r="F19" s="12"/>
      <c r="G19" s="13"/>
      <c r="H19" s="12"/>
      <c r="I19" s="12"/>
      <c r="J19" s="12"/>
      <c r="K19" s="13"/>
      <c r="L19" s="13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1" t="s">
        <v>67</v>
      </c>
      <c r="AG19" s="12">
        <f>700+87.24</f>
        <v>787.24</v>
      </c>
      <c r="AH19" s="12"/>
      <c r="AI19" s="12"/>
      <c r="AJ19" s="22"/>
      <c r="AK19" s="12">
        <f>87.24+328</f>
        <v>415.24</v>
      </c>
      <c r="AL19" s="12">
        <f t="shared" si="0"/>
        <v>372</v>
      </c>
      <c r="AM19" s="24"/>
      <c r="AN19" s="24"/>
    </row>
    <row r="20" spans="1:42" ht="80.25" customHeight="1" x14ac:dyDescent="0.2">
      <c r="A20" s="19" t="s">
        <v>68</v>
      </c>
      <c r="B20" s="12"/>
      <c r="C20" s="21">
        <v>2210</v>
      </c>
      <c r="D20" s="12"/>
      <c r="E20" s="12"/>
      <c r="F20" s="12"/>
      <c r="G20" s="13"/>
      <c r="H20" s="12"/>
      <c r="I20" s="12"/>
      <c r="J20" s="12"/>
      <c r="K20" s="13"/>
      <c r="L20" s="13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 t="s">
        <v>69</v>
      </c>
      <c r="AG20" s="12">
        <f>530.4</f>
        <v>530.4</v>
      </c>
      <c r="AH20" s="28"/>
      <c r="AI20" s="12"/>
      <c r="AJ20" s="22"/>
      <c r="AK20" s="12">
        <v>530.4</v>
      </c>
      <c r="AL20" s="12">
        <f t="shared" si="0"/>
        <v>0</v>
      </c>
    </row>
    <row r="21" spans="1:42" ht="80.25" customHeight="1" x14ac:dyDescent="0.2">
      <c r="A21" s="19" t="s">
        <v>70</v>
      </c>
      <c r="B21" s="12"/>
      <c r="C21" s="21">
        <v>2210</v>
      </c>
      <c r="D21" s="12"/>
      <c r="E21" s="12"/>
      <c r="F21" s="12"/>
      <c r="G21" s="13"/>
      <c r="H21" s="12"/>
      <c r="I21" s="12"/>
      <c r="J21" s="12"/>
      <c r="K21" s="13"/>
      <c r="L21" s="13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 t="s">
        <v>71</v>
      </c>
      <c r="AG21" s="12">
        <v>550</v>
      </c>
      <c r="AH21" s="28"/>
      <c r="AI21" s="12"/>
      <c r="AJ21" s="22"/>
      <c r="AL21" s="12">
        <f t="shared" si="0"/>
        <v>550</v>
      </c>
    </row>
    <row r="22" spans="1:42" ht="75" customHeight="1" x14ac:dyDescent="0.2">
      <c r="A22" s="19" t="s">
        <v>72</v>
      </c>
      <c r="B22" s="12"/>
      <c r="C22" s="21">
        <v>2210</v>
      </c>
      <c r="D22" s="12"/>
      <c r="E22" s="12"/>
      <c r="F22" s="12"/>
      <c r="G22" s="13"/>
      <c r="H22" s="12"/>
      <c r="I22" s="12"/>
      <c r="J22" s="12"/>
      <c r="K22" s="13"/>
      <c r="L22" s="13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 t="s">
        <v>73</v>
      </c>
      <c r="AG22" s="12">
        <v>57</v>
      </c>
      <c r="AH22" s="28"/>
      <c r="AI22" s="12"/>
      <c r="AJ22" s="22"/>
      <c r="AK22" s="12">
        <v>57</v>
      </c>
      <c r="AL22" s="12">
        <f t="shared" si="0"/>
        <v>0</v>
      </c>
    </row>
    <row r="23" spans="1:42" ht="66.75" customHeight="1" x14ac:dyDescent="0.2">
      <c r="A23" s="19" t="s">
        <v>74</v>
      </c>
      <c r="B23" s="12"/>
      <c r="C23" s="21">
        <v>2210</v>
      </c>
      <c r="D23" s="12"/>
      <c r="E23" s="12"/>
      <c r="F23" s="12"/>
      <c r="G23" s="13"/>
      <c r="H23" s="12"/>
      <c r="I23" s="12"/>
      <c r="J23" s="12"/>
      <c r="K23" s="13"/>
      <c r="L23" s="13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 t="s">
        <v>75</v>
      </c>
      <c r="AG23" s="12">
        <f>3171.1+179.1+269.5-3171.1</f>
        <v>448.59999999999991</v>
      </c>
      <c r="AH23" s="28"/>
      <c r="AI23" s="12"/>
      <c r="AJ23" s="22"/>
      <c r="AK23" s="12">
        <v>448.6</v>
      </c>
      <c r="AL23" s="12">
        <f t="shared" si="0"/>
        <v>0</v>
      </c>
    </row>
    <row r="24" spans="1:42" ht="57" customHeight="1" x14ac:dyDescent="0.2">
      <c r="A24" s="19" t="s">
        <v>76</v>
      </c>
      <c r="B24" s="12"/>
      <c r="C24" s="21">
        <v>2210</v>
      </c>
      <c r="D24" s="12"/>
      <c r="E24" s="12"/>
      <c r="F24" s="12"/>
      <c r="G24" s="13"/>
      <c r="H24" s="12"/>
      <c r="I24" s="12"/>
      <c r="J24" s="12"/>
      <c r="K24" s="13"/>
      <c r="L24" s="13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 t="s">
        <v>77</v>
      </c>
      <c r="AG24" s="12">
        <v>1753.6</v>
      </c>
      <c r="AH24" s="28"/>
      <c r="AI24" s="12"/>
      <c r="AJ24" s="22"/>
      <c r="AK24" s="12">
        <f>24.5+77.5+925</f>
        <v>1027</v>
      </c>
      <c r="AL24" s="12">
        <f t="shared" si="0"/>
        <v>726.59999999999991</v>
      </c>
    </row>
    <row r="25" spans="1:42" ht="48" customHeight="1" x14ac:dyDescent="0.2">
      <c r="A25" s="19" t="s">
        <v>78</v>
      </c>
      <c r="B25" s="12" t="s">
        <v>79</v>
      </c>
      <c r="C25" s="21">
        <v>2210</v>
      </c>
      <c r="D25" s="12">
        <v>2000</v>
      </c>
      <c r="E25" s="12">
        <v>16700</v>
      </c>
      <c r="F25" s="12">
        <f>D25+E25</f>
        <v>18700</v>
      </c>
      <c r="G25" s="13"/>
      <c r="H25" s="12"/>
      <c r="I25" s="12"/>
      <c r="J25" s="12"/>
      <c r="K25" s="13"/>
      <c r="L25" s="13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 t="s">
        <v>80</v>
      </c>
      <c r="AG25" s="12">
        <f>1568.45+1776.7+3355+1603-740.86+1419.54+177.2+818.7+1743</f>
        <v>11720.730000000001</v>
      </c>
      <c r="AH25" s="28"/>
      <c r="AI25" s="28"/>
      <c r="AJ25" s="29" t="s">
        <v>81</v>
      </c>
      <c r="AK25" s="12">
        <f>1028+1394.1+812+1435+1776+521.4+1621.1+1268</f>
        <v>9855.6</v>
      </c>
      <c r="AL25" s="12">
        <f t="shared" si="0"/>
        <v>1865.130000000001</v>
      </c>
    </row>
    <row r="26" spans="1:42" ht="60" x14ac:dyDescent="0.2">
      <c r="A26" s="19" t="s">
        <v>82</v>
      </c>
      <c r="B26" s="12" t="s">
        <v>79</v>
      </c>
      <c r="C26" s="21">
        <v>2210</v>
      </c>
      <c r="D26" s="12">
        <v>2000</v>
      </c>
      <c r="E26" s="12">
        <v>16700</v>
      </c>
      <c r="F26" s="12">
        <f t="shared" ref="F26:F28" si="2">D26+E26</f>
        <v>18700</v>
      </c>
      <c r="G26" s="13"/>
      <c r="H26" s="12"/>
      <c r="I26" s="12"/>
      <c r="J26" s="12"/>
      <c r="K26" s="13"/>
      <c r="L26" s="13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 t="s">
        <v>83</v>
      </c>
      <c r="AG26" s="12">
        <f>3000-2870.4</f>
        <v>129.59999999999991</v>
      </c>
      <c r="AH26" s="28"/>
      <c r="AI26" s="28"/>
      <c r="AJ26" s="22"/>
      <c r="AK26" s="12">
        <v>129.6</v>
      </c>
      <c r="AL26" s="12">
        <f t="shared" si="0"/>
        <v>0</v>
      </c>
    </row>
    <row r="27" spans="1:42" ht="60" x14ac:dyDescent="0.2">
      <c r="A27" s="19" t="s">
        <v>84</v>
      </c>
      <c r="B27" s="12" t="s">
        <v>79</v>
      </c>
      <c r="C27" s="21">
        <v>2210</v>
      </c>
      <c r="D27" s="12">
        <v>2000</v>
      </c>
      <c r="E27" s="12">
        <v>16700</v>
      </c>
      <c r="F27" s="12">
        <f t="shared" si="2"/>
        <v>18700</v>
      </c>
      <c r="G27" s="13"/>
      <c r="H27" s="12"/>
      <c r="I27" s="12"/>
      <c r="J27" s="12"/>
      <c r="K27" s="13"/>
      <c r="L27" s="13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 t="s">
        <v>85</v>
      </c>
      <c r="AG27" s="12">
        <f>3000-2286.92</f>
        <v>713.07999999999993</v>
      </c>
      <c r="AH27" s="28"/>
      <c r="AI27" s="28"/>
      <c r="AJ27" s="22"/>
      <c r="AK27" s="12">
        <v>713.08</v>
      </c>
      <c r="AL27" s="12">
        <f t="shared" si="0"/>
        <v>0</v>
      </c>
    </row>
    <row r="28" spans="1:42" ht="60" x14ac:dyDescent="0.2">
      <c r="A28" s="19" t="s">
        <v>86</v>
      </c>
      <c r="B28" s="12" t="s">
        <v>79</v>
      </c>
      <c r="C28" s="21">
        <v>2210</v>
      </c>
      <c r="D28" s="12">
        <v>2000</v>
      </c>
      <c r="E28" s="12">
        <v>16700</v>
      </c>
      <c r="F28" s="12">
        <f t="shared" si="2"/>
        <v>18700</v>
      </c>
      <c r="G28" s="13"/>
      <c r="H28" s="12"/>
      <c r="I28" s="12"/>
      <c r="J28" s="12"/>
      <c r="K28" s="13"/>
      <c r="L28" s="13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 t="s">
        <v>87</v>
      </c>
      <c r="AG28" s="12">
        <f>30000-20643.22-3763.83-99+1500+1658-500.93</f>
        <v>8151.0199999999986</v>
      </c>
      <c r="AH28" s="28"/>
      <c r="AI28" s="28"/>
      <c r="AJ28" s="22"/>
      <c r="AK28" s="12">
        <f>1651.88+1330.51+1379+1423.44+499.68</f>
        <v>6284.51</v>
      </c>
      <c r="AL28" s="12">
        <f t="shared" si="0"/>
        <v>1866.5099999999984</v>
      </c>
    </row>
    <row r="29" spans="1:42" ht="54" customHeight="1" x14ac:dyDescent="0.2">
      <c r="A29" s="19" t="s">
        <v>88</v>
      </c>
      <c r="B29" s="12"/>
      <c r="C29" s="21">
        <v>2210</v>
      </c>
      <c r="D29" s="12"/>
      <c r="E29" s="12"/>
      <c r="F29" s="12"/>
      <c r="G29" s="13"/>
      <c r="H29" s="12"/>
      <c r="I29" s="12"/>
      <c r="J29" s="12"/>
      <c r="K29" s="13"/>
      <c r="L29" s="13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89</v>
      </c>
      <c r="AG29" s="12">
        <v>1110.45</v>
      </c>
      <c r="AH29" s="28"/>
      <c r="AI29" s="12"/>
      <c r="AJ29" s="22"/>
      <c r="AL29" s="12">
        <f t="shared" si="0"/>
        <v>1110.45</v>
      </c>
      <c r="AM29" s="24"/>
      <c r="AN29" s="24"/>
    </row>
    <row r="30" spans="1:42" s="23" customFormat="1" ht="141" customHeight="1" x14ac:dyDescent="0.2">
      <c r="A30" s="19" t="s">
        <v>90</v>
      </c>
      <c r="B30" s="20" t="s">
        <v>91</v>
      </c>
      <c r="C30" s="21">
        <v>2210</v>
      </c>
      <c r="D30" s="21">
        <v>2210</v>
      </c>
      <c r="E30" s="21">
        <v>3000</v>
      </c>
      <c r="F30" s="21" t="s">
        <v>92</v>
      </c>
      <c r="G30" s="21">
        <f>E30+F30</f>
        <v>6000</v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 t="s">
        <v>93</v>
      </c>
      <c r="AG30" s="12">
        <f>500+622.8</f>
        <v>1122.8</v>
      </c>
      <c r="AH30" s="12"/>
      <c r="AI30" s="12"/>
      <c r="AJ30" s="22"/>
      <c r="AK30" s="12">
        <f>622.8+500</f>
        <v>1122.8</v>
      </c>
      <c r="AL30" s="12">
        <f t="shared" si="0"/>
        <v>0</v>
      </c>
      <c r="AM30" s="3"/>
      <c r="AN30" s="3"/>
      <c r="AO30" s="3"/>
      <c r="AP30" s="3"/>
    </row>
    <row r="31" spans="1:42" ht="48.75" customHeight="1" x14ac:dyDescent="0.2">
      <c r="A31" s="19" t="s">
        <v>94</v>
      </c>
      <c r="B31" s="12" t="s">
        <v>95</v>
      </c>
      <c r="C31" s="21">
        <v>2210</v>
      </c>
      <c r="D31" s="12">
        <v>5000</v>
      </c>
      <c r="E31" s="12">
        <v>54000</v>
      </c>
      <c r="F31" s="12">
        <f>D31+E31</f>
        <v>59000</v>
      </c>
      <c r="G31" s="13"/>
      <c r="H31" s="12"/>
      <c r="I31" s="12"/>
      <c r="J31" s="12"/>
      <c r="K31" s="13"/>
      <c r="L31" s="13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21" t="s">
        <v>96</v>
      </c>
      <c r="AG31" s="12">
        <f>10500+3500</f>
        <v>14000</v>
      </c>
      <c r="AH31" s="20"/>
      <c r="AI31" s="28"/>
      <c r="AJ31" s="22"/>
      <c r="AK31" s="12">
        <v>13985.95</v>
      </c>
      <c r="AL31" s="12">
        <f t="shared" si="0"/>
        <v>14.049999999999272</v>
      </c>
      <c r="AM31" s="24"/>
      <c r="AN31" s="24"/>
    </row>
    <row r="32" spans="1:42" ht="66.75" customHeight="1" x14ac:dyDescent="0.2">
      <c r="A32" s="19" t="s">
        <v>97</v>
      </c>
      <c r="B32" s="12" t="s">
        <v>95</v>
      </c>
      <c r="C32" s="21">
        <v>2210</v>
      </c>
      <c r="D32" s="12">
        <v>5000</v>
      </c>
      <c r="E32" s="12">
        <v>54000</v>
      </c>
      <c r="F32" s="12">
        <f>D32+E32</f>
        <v>59000</v>
      </c>
      <c r="G32" s="13"/>
      <c r="H32" s="12"/>
      <c r="I32" s="12"/>
      <c r="J32" s="12"/>
      <c r="K32" s="13"/>
      <c r="L32" s="13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21" t="s">
        <v>98</v>
      </c>
      <c r="AG32" s="12">
        <f>180-36+729</f>
        <v>873</v>
      </c>
      <c r="AH32" s="20"/>
      <c r="AI32" s="28"/>
      <c r="AJ32" s="22" t="s">
        <v>99</v>
      </c>
      <c r="AK32" s="12">
        <v>144</v>
      </c>
      <c r="AL32" s="12">
        <f t="shared" si="0"/>
        <v>729</v>
      </c>
      <c r="AM32" s="24"/>
      <c r="AN32" s="24"/>
    </row>
    <row r="33" spans="1:42" ht="90" x14ac:dyDescent="0.2">
      <c r="A33" s="19" t="s">
        <v>100</v>
      </c>
      <c r="B33" s="21" t="s">
        <v>101</v>
      </c>
      <c r="C33" s="21">
        <v>2210</v>
      </c>
      <c r="D33" s="26"/>
      <c r="E33" s="12"/>
      <c r="F33" s="12">
        <f>D33+E33</f>
        <v>0</v>
      </c>
      <c r="G33" s="12"/>
      <c r="H33" s="9"/>
      <c r="I33" s="12"/>
      <c r="J33" s="12"/>
      <c r="K33" s="12"/>
      <c r="L33" s="14"/>
      <c r="M33" s="12">
        <v>1542</v>
      </c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 t="s">
        <v>102</v>
      </c>
      <c r="AG33" s="12">
        <f>99+99+282+289</f>
        <v>769</v>
      </c>
      <c r="AH33" s="28"/>
      <c r="AI33" s="28"/>
      <c r="AJ33" s="22"/>
      <c r="AK33" s="12">
        <f>99+282+99+99+189</f>
        <v>768</v>
      </c>
      <c r="AL33" s="12">
        <f t="shared" si="0"/>
        <v>1</v>
      </c>
      <c r="AM33" s="24"/>
      <c r="AN33" s="24"/>
    </row>
    <row r="34" spans="1:42" ht="97.5" customHeight="1" x14ac:dyDescent="0.2">
      <c r="A34" s="19" t="s">
        <v>103</v>
      </c>
      <c r="B34" s="12" t="s">
        <v>104</v>
      </c>
      <c r="C34" s="21">
        <v>2210</v>
      </c>
      <c r="D34" s="12"/>
      <c r="E34" s="12">
        <v>10000</v>
      </c>
      <c r="F34" s="12">
        <f t="shared" ref="F34:F39" si="3">D34+E34</f>
        <v>10000</v>
      </c>
      <c r="G34" s="13"/>
      <c r="H34" s="12"/>
      <c r="I34" s="12"/>
      <c r="J34" s="12"/>
      <c r="K34" s="13"/>
      <c r="L34" s="13"/>
      <c r="M34" s="12"/>
      <c r="N34" s="12"/>
      <c r="O34" s="12"/>
      <c r="P34" s="12"/>
      <c r="Q34" s="12"/>
      <c r="R34" s="12">
        <v>2341</v>
      </c>
      <c r="S34" s="12">
        <v>13920</v>
      </c>
      <c r="T34" s="12"/>
      <c r="U34" s="12"/>
      <c r="V34" s="12"/>
      <c r="W34" s="12"/>
      <c r="X34" s="12"/>
      <c r="Y34" s="12">
        <v>8800</v>
      </c>
      <c r="Z34" s="12"/>
      <c r="AA34" s="12"/>
      <c r="AB34" s="12"/>
      <c r="AC34" s="12"/>
      <c r="AD34" s="12"/>
      <c r="AE34" s="12"/>
      <c r="AF34" s="21" t="s">
        <v>105</v>
      </c>
      <c r="AG34" s="12">
        <f>5052+5052+6192+5496</f>
        <v>21792</v>
      </c>
      <c r="AH34" s="12"/>
      <c r="AI34" s="12"/>
      <c r="AJ34" s="22"/>
      <c r="AK34" s="12">
        <f>5052+5052+5844+5844</f>
        <v>21792</v>
      </c>
      <c r="AL34" s="12">
        <f t="shared" si="0"/>
        <v>0</v>
      </c>
      <c r="AM34" s="24"/>
      <c r="AN34" s="24"/>
    </row>
    <row r="35" spans="1:42" ht="79.5" customHeight="1" x14ac:dyDescent="0.2">
      <c r="A35" s="19" t="s">
        <v>106</v>
      </c>
      <c r="B35" s="12" t="s">
        <v>104</v>
      </c>
      <c r="C35" s="21">
        <v>2210</v>
      </c>
      <c r="D35" s="12"/>
      <c r="E35" s="12">
        <v>10000</v>
      </c>
      <c r="F35" s="12">
        <f t="shared" si="3"/>
        <v>10000</v>
      </c>
      <c r="G35" s="13"/>
      <c r="H35" s="12"/>
      <c r="I35" s="12"/>
      <c r="J35" s="12"/>
      <c r="K35" s="13"/>
      <c r="L35" s="13"/>
      <c r="M35" s="12"/>
      <c r="N35" s="12"/>
      <c r="O35" s="12"/>
      <c r="P35" s="12"/>
      <c r="Q35" s="12"/>
      <c r="R35" s="12">
        <v>2341</v>
      </c>
      <c r="S35" s="12">
        <v>13920</v>
      </c>
      <c r="T35" s="12"/>
      <c r="U35" s="12"/>
      <c r="V35" s="12"/>
      <c r="W35" s="12"/>
      <c r="X35" s="12"/>
      <c r="Y35" s="12">
        <v>8800</v>
      </c>
      <c r="Z35" s="12"/>
      <c r="AA35" s="12"/>
      <c r="AB35" s="12"/>
      <c r="AC35" s="12"/>
      <c r="AD35" s="12"/>
      <c r="AE35" s="12"/>
      <c r="AF35" s="21" t="s">
        <v>107</v>
      </c>
      <c r="AG35" s="12">
        <f>23.1+27</f>
        <v>50.1</v>
      </c>
      <c r="AH35" s="12"/>
      <c r="AI35" s="12"/>
      <c r="AJ35" s="22"/>
      <c r="AK35" s="12">
        <f>23.1+27</f>
        <v>50.1</v>
      </c>
      <c r="AL35" s="12">
        <f t="shared" si="0"/>
        <v>0</v>
      </c>
      <c r="AM35" s="24"/>
      <c r="AN35" s="24"/>
    </row>
    <row r="36" spans="1:42" ht="79.5" customHeight="1" x14ac:dyDescent="0.2">
      <c r="A36" s="19" t="s">
        <v>108</v>
      </c>
      <c r="B36" s="12" t="s">
        <v>104</v>
      </c>
      <c r="C36" s="21">
        <v>2210</v>
      </c>
      <c r="D36" s="12"/>
      <c r="E36" s="12">
        <v>10000</v>
      </c>
      <c r="F36" s="12">
        <f t="shared" si="3"/>
        <v>10000</v>
      </c>
      <c r="G36" s="13"/>
      <c r="H36" s="12"/>
      <c r="I36" s="12"/>
      <c r="J36" s="12"/>
      <c r="K36" s="13"/>
      <c r="L36" s="13"/>
      <c r="M36" s="12"/>
      <c r="N36" s="12"/>
      <c r="O36" s="12"/>
      <c r="P36" s="12"/>
      <c r="Q36" s="12"/>
      <c r="R36" s="12">
        <v>2341</v>
      </c>
      <c r="S36" s="12">
        <v>13920</v>
      </c>
      <c r="T36" s="12"/>
      <c r="U36" s="12"/>
      <c r="V36" s="12"/>
      <c r="W36" s="12"/>
      <c r="X36" s="12"/>
      <c r="Y36" s="12">
        <v>8800</v>
      </c>
      <c r="Z36" s="12"/>
      <c r="AA36" s="12"/>
      <c r="AB36" s="12"/>
      <c r="AC36" s="12"/>
      <c r="AD36" s="12"/>
      <c r="AE36" s="12"/>
      <c r="AF36" s="21" t="s">
        <v>109</v>
      </c>
      <c r="AG36" s="12">
        <f>36</f>
        <v>36</v>
      </c>
      <c r="AH36" s="12"/>
      <c r="AI36" s="12"/>
      <c r="AJ36" s="22"/>
      <c r="AK36" s="12">
        <v>36</v>
      </c>
      <c r="AL36" s="12">
        <f t="shared" si="0"/>
        <v>0</v>
      </c>
      <c r="AM36" s="24"/>
      <c r="AN36" s="24"/>
    </row>
    <row r="37" spans="1:42" ht="75" x14ac:dyDescent="0.2">
      <c r="A37" s="19" t="s">
        <v>110</v>
      </c>
      <c r="B37" s="12" t="s">
        <v>104</v>
      </c>
      <c r="C37" s="21">
        <v>2210</v>
      </c>
      <c r="D37" s="12"/>
      <c r="E37" s="12">
        <v>10000</v>
      </c>
      <c r="F37" s="12">
        <f t="shared" si="3"/>
        <v>10000</v>
      </c>
      <c r="G37" s="13"/>
      <c r="H37" s="12"/>
      <c r="I37" s="12"/>
      <c r="J37" s="12"/>
      <c r="K37" s="13"/>
      <c r="L37" s="13"/>
      <c r="M37" s="12"/>
      <c r="N37" s="12"/>
      <c r="O37" s="12"/>
      <c r="P37" s="12"/>
      <c r="Q37" s="12"/>
      <c r="R37" s="12">
        <v>2341</v>
      </c>
      <c r="S37" s="12">
        <v>13920</v>
      </c>
      <c r="T37" s="12"/>
      <c r="U37" s="12"/>
      <c r="V37" s="12"/>
      <c r="W37" s="12"/>
      <c r="X37" s="12"/>
      <c r="Y37" s="12">
        <v>8800</v>
      </c>
      <c r="Z37" s="12"/>
      <c r="AA37" s="12"/>
      <c r="AB37" s="12"/>
      <c r="AC37" s="12"/>
      <c r="AD37" s="12"/>
      <c r="AE37" s="12"/>
      <c r="AF37" s="21" t="s">
        <v>111</v>
      </c>
      <c r="AG37" s="12">
        <f>682.5+18.4</f>
        <v>700.9</v>
      </c>
      <c r="AH37" s="12"/>
      <c r="AI37" s="12"/>
      <c r="AJ37" s="22"/>
      <c r="AK37" s="12">
        <v>700.6</v>
      </c>
      <c r="AL37" s="12">
        <f t="shared" si="0"/>
        <v>0.29999999999995453</v>
      </c>
      <c r="AM37" s="24"/>
      <c r="AN37" s="24"/>
    </row>
    <row r="38" spans="1:42" ht="90" x14ac:dyDescent="0.2">
      <c r="A38" s="19" t="s">
        <v>112</v>
      </c>
      <c r="B38" s="12" t="s">
        <v>104</v>
      </c>
      <c r="C38" s="21">
        <v>2210</v>
      </c>
      <c r="D38" s="12"/>
      <c r="E38" s="12">
        <v>10000</v>
      </c>
      <c r="F38" s="12">
        <f t="shared" si="3"/>
        <v>10000</v>
      </c>
      <c r="G38" s="13"/>
      <c r="H38" s="12"/>
      <c r="I38" s="12"/>
      <c r="J38" s="12"/>
      <c r="K38" s="13"/>
      <c r="L38" s="13"/>
      <c r="M38" s="12"/>
      <c r="N38" s="12"/>
      <c r="O38" s="12"/>
      <c r="P38" s="12"/>
      <c r="Q38" s="12"/>
      <c r="R38" s="12">
        <v>2341</v>
      </c>
      <c r="S38" s="12">
        <v>13920</v>
      </c>
      <c r="T38" s="12"/>
      <c r="U38" s="12"/>
      <c r="V38" s="12"/>
      <c r="W38" s="12"/>
      <c r="X38" s="12"/>
      <c r="Y38" s="12">
        <v>8800</v>
      </c>
      <c r="Z38" s="12"/>
      <c r="AA38" s="12"/>
      <c r="AB38" s="12"/>
      <c r="AC38" s="12"/>
      <c r="AD38" s="12"/>
      <c r="AE38" s="12"/>
      <c r="AF38" s="21" t="s">
        <v>113</v>
      </c>
      <c r="AG38" s="12">
        <f>462</f>
        <v>462</v>
      </c>
      <c r="AH38" s="12"/>
      <c r="AI38" s="12"/>
      <c r="AJ38" s="22"/>
      <c r="AK38" s="12">
        <v>462</v>
      </c>
      <c r="AL38" s="12">
        <f t="shared" si="0"/>
        <v>0</v>
      </c>
      <c r="AM38" s="24"/>
      <c r="AN38" s="24"/>
    </row>
    <row r="39" spans="1:42" ht="90" x14ac:dyDescent="0.2">
      <c r="A39" s="19" t="s">
        <v>114</v>
      </c>
      <c r="B39" s="12" t="s">
        <v>104</v>
      </c>
      <c r="C39" s="21">
        <v>2210</v>
      </c>
      <c r="D39" s="12"/>
      <c r="E39" s="12">
        <v>10000</v>
      </c>
      <c r="F39" s="12">
        <f t="shared" si="3"/>
        <v>10000</v>
      </c>
      <c r="G39" s="13"/>
      <c r="H39" s="12"/>
      <c r="I39" s="12"/>
      <c r="J39" s="12"/>
      <c r="K39" s="13"/>
      <c r="L39" s="13"/>
      <c r="M39" s="12"/>
      <c r="N39" s="12"/>
      <c r="O39" s="12"/>
      <c r="P39" s="12"/>
      <c r="Q39" s="12"/>
      <c r="R39" s="12">
        <v>2341</v>
      </c>
      <c r="S39" s="12">
        <v>13920</v>
      </c>
      <c r="T39" s="12"/>
      <c r="U39" s="12"/>
      <c r="V39" s="12"/>
      <c r="W39" s="12"/>
      <c r="X39" s="12"/>
      <c r="Y39" s="12">
        <v>8800</v>
      </c>
      <c r="Z39" s="12"/>
      <c r="AA39" s="12"/>
      <c r="AB39" s="12"/>
      <c r="AC39" s="12"/>
      <c r="AD39" s="12"/>
      <c r="AE39" s="12"/>
      <c r="AF39" s="21" t="s">
        <v>115</v>
      </c>
      <c r="AG39" s="12">
        <f>49.2+63.8</f>
        <v>113</v>
      </c>
      <c r="AH39" s="12"/>
      <c r="AI39" s="12"/>
      <c r="AJ39" s="22"/>
      <c r="AK39" s="12">
        <v>113</v>
      </c>
      <c r="AL39" s="12">
        <f t="shared" si="0"/>
        <v>0</v>
      </c>
      <c r="AM39" s="24"/>
      <c r="AN39" s="24"/>
    </row>
    <row r="40" spans="1:42" ht="73.5" customHeight="1" x14ac:dyDescent="0.2">
      <c r="A40" s="19" t="s">
        <v>116</v>
      </c>
      <c r="B40" s="12" t="s">
        <v>104</v>
      </c>
      <c r="C40" s="21">
        <v>2210</v>
      </c>
      <c r="D40" s="12"/>
      <c r="E40" s="12">
        <v>10000</v>
      </c>
      <c r="F40" s="12">
        <f>D40+E40</f>
        <v>10000</v>
      </c>
      <c r="G40" s="13"/>
      <c r="H40" s="12"/>
      <c r="I40" s="12"/>
      <c r="J40" s="12"/>
      <c r="K40" s="13"/>
      <c r="L40" s="13"/>
      <c r="M40" s="12"/>
      <c r="N40" s="12"/>
      <c r="O40" s="12"/>
      <c r="P40" s="12"/>
      <c r="Q40" s="12"/>
      <c r="R40" s="12">
        <v>2341</v>
      </c>
      <c r="S40" s="12">
        <v>13920</v>
      </c>
      <c r="T40" s="12"/>
      <c r="U40" s="12"/>
      <c r="V40" s="12"/>
      <c r="W40" s="12"/>
      <c r="X40" s="12"/>
      <c r="Y40" s="12">
        <v>8800</v>
      </c>
      <c r="Z40" s="12"/>
      <c r="AA40" s="12"/>
      <c r="AB40" s="12"/>
      <c r="AC40" s="12"/>
      <c r="AD40" s="12"/>
      <c r="AE40" s="12"/>
      <c r="AF40" s="21" t="s">
        <v>117</v>
      </c>
      <c r="AG40" s="12">
        <v>218.4</v>
      </c>
      <c r="AH40" s="12"/>
      <c r="AI40" s="12"/>
      <c r="AJ40" s="22"/>
      <c r="AK40" s="12">
        <v>218.4</v>
      </c>
      <c r="AL40" s="12">
        <f t="shared" si="0"/>
        <v>0</v>
      </c>
      <c r="AM40" s="24"/>
      <c r="AN40" s="24"/>
    </row>
    <row r="41" spans="1:42" ht="75" x14ac:dyDescent="0.2">
      <c r="A41" s="19" t="s">
        <v>118</v>
      </c>
      <c r="B41" s="12" t="s">
        <v>104</v>
      </c>
      <c r="C41" s="21">
        <v>2210</v>
      </c>
      <c r="D41" s="12"/>
      <c r="E41" s="12">
        <v>10000</v>
      </c>
      <c r="F41" s="12">
        <f>D41+E41</f>
        <v>10000</v>
      </c>
      <c r="G41" s="13"/>
      <c r="H41" s="12"/>
      <c r="I41" s="12"/>
      <c r="J41" s="12"/>
      <c r="K41" s="13"/>
      <c r="L41" s="13"/>
      <c r="M41" s="12"/>
      <c r="N41" s="12"/>
      <c r="O41" s="12"/>
      <c r="P41" s="12"/>
      <c r="Q41" s="12"/>
      <c r="R41" s="12">
        <v>2341</v>
      </c>
      <c r="S41" s="12">
        <v>13920</v>
      </c>
      <c r="T41" s="12"/>
      <c r="U41" s="12"/>
      <c r="V41" s="12"/>
      <c r="W41" s="12"/>
      <c r="X41" s="12"/>
      <c r="Y41" s="12">
        <v>8800</v>
      </c>
      <c r="Z41" s="12"/>
      <c r="AA41" s="12"/>
      <c r="AB41" s="12"/>
      <c r="AC41" s="12"/>
      <c r="AD41" s="12"/>
      <c r="AE41" s="12"/>
      <c r="AF41" s="21" t="s">
        <v>119</v>
      </c>
      <c r="AG41" s="12">
        <v>6.9</v>
      </c>
      <c r="AH41" s="12"/>
      <c r="AI41" s="12"/>
      <c r="AJ41" s="22"/>
      <c r="AK41" s="12">
        <v>6.9</v>
      </c>
      <c r="AL41" s="12">
        <f t="shared" si="0"/>
        <v>0</v>
      </c>
      <c r="AM41" s="24"/>
      <c r="AN41" s="24"/>
    </row>
    <row r="42" spans="1:42" s="23" customFormat="1" ht="75" customHeight="1" x14ac:dyDescent="0.2">
      <c r="A42" s="19" t="s">
        <v>120</v>
      </c>
      <c r="B42" s="20" t="s">
        <v>121</v>
      </c>
      <c r="C42" s="21">
        <v>2210</v>
      </c>
      <c r="D42" s="21">
        <v>2210</v>
      </c>
      <c r="E42" s="12"/>
      <c r="F42" s="12"/>
      <c r="G42" s="12"/>
      <c r="H42" s="13"/>
      <c r="I42" s="13"/>
      <c r="J42" s="13"/>
      <c r="K42" s="13"/>
      <c r="L42" s="13"/>
      <c r="M42" s="13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21" t="s">
        <v>122</v>
      </c>
      <c r="AG42" s="12">
        <f>1279.5</f>
        <v>1279.5</v>
      </c>
      <c r="AH42" s="12"/>
      <c r="AI42" s="12"/>
      <c r="AJ42" s="22"/>
      <c r="AK42" s="12">
        <v>1279.5</v>
      </c>
      <c r="AL42" s="12">
        <f t="shared" si="0"/>
        <v>0</v>
      </c>
      <c r="AM42" s="3"/>
      <c r="AN42" s="3"/>
      <c r="AO42" s="3"/>
      <c r="AP42" s="3"/>
    </row>
    <row r="43" spans="1:42" s="23" customFormat="1" ht="93.75" customHeight="1" x14ac:dyDescent="0.2">
      <c r="A43" s="19" t="s">
        <v>123</v>
      </c>
      <c r="B43" s="20" t="s">
        <v>121</v>
      </c>
      <c r="C43" s="21">
        <v>2210</v>
      </c>
      <c r="D43" s="21">
        <v>2210</v>
      </c>
      <c r="E43" s="12"/>
      <c r="F43" s="12"/>
      <c r="G43" s="12"/>
      <c r="H43" s="13"/>
      <c r="I43" s="13"/>
      <c r="J43" s="13"/>
      <c r="K43" s="13"/>
      <c r="L43" s="13"/>
      <c r="M43" s="13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21" t="s">
        <v>124</v>
      </c>
      <c r="AG43" s="12">
        <v>144</v>
      </c>
      <c r="AH43" s="12"/>
      <c r="AI43" s="12"/>
      <c r="AJ43" s="22"/>
      <c r="AK43" s="12">
        <f>24+535</f>
        <v>559</v>
      </c>
      <c r="AL43" s="12">
        <f t="shared" si="0"/>
        <v>-415</v>
      </c>
      <c r="AM43" s="3"/>
      <c r="AN43" s="3"/>
      <c r="AO43" s="3"/>
      <c r="AP43" s="3"/>
    </row>
    <row r="44" spans="1:42" s="23" customFormat="1" ht="92.25" customHeight="1" x14ac:dyDescent="0.2">
      <c r="A44" s="19" t="s">
        <v>125</v>
      </c>
      <c r="B44" s="20" t="s">
        <v>121</v>
      </c>
      <c r="C44" s="21">
        <v>2210</v>
      </c>
      <c r="D44" s="21">
        <v>2210</v>
      </c>
      <c r="E44" s="12"/>
      <c r="F44" s="12"/>
      <c r="G44" s="12"/>
      <c r="H44" s="13"/>
      <c r="I44" s="13"/>
      <c r="J44" s="13"/>
      <c r="K44" s="13"/>
      <c r="L44" s="13"/>
      <c r="M44" s="13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 t="s">
        <v>126</v>
      </c>
      <c r="AG44" s="12">
        <f>535+24+1797.36+420+22+523</f>
        <v>3321.3599999999997</v>
      </c>
      <c r="AH44" s="12"/>
      <c r="AI44" s="12"/>
      <c r="AJ44" s="29" t="s">
        <v>127</v>
      </c>
      <c r="AK44" s="12">
        <f>24+535</f>
        <v>559</v>
      </c>
      <c r="AL44" s="12">
        <f t="shared" si="0"/>
        <v>2762.3599999999997</v>
      </c>
      <c r="AM44" s="3"/>
      <c r="AN44" s="3"/>
      <c r="AO44" s="3"/>
      <c r="AP44" s="3"/>
    </row>
    <row r="45" spans="1:42" ht="71.25" customHeight="1" x14ac:dyDescent="0.2">
      <c r="A45" s="19" t="s">
        <v>128</v>
      </c>
      <c r="B45" s="12" t="s">
        <v>129</v>
      </c>
      <c r="C45" s="21">
        <v>2210</v>
      </c>
      <c r="D45" s="12"/>
      <c r="E45" s="12">
        <v>200</v>
      </c>
      <c r="F45" s="12">
        <f t="shared" ref="F45:F46" si="4">D45+E45</f>
        <v>200</v>
      </c>
      <c r="G45" s="13"/>
      <c r="H45" s="12"/>
      <c r="I45" s="12"/>
      <c r="J45" s="12"/>
      <c r="K45" s="13"/>
      <c r="L45" s="13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 t="s">
        <v>130</v>
      </c>
      <c r="AG45" s="12">
        <v>441.36</v>
      </c>
      <c r="AH45" s="20"/>
      <c r="AI45" s="28"/>
      <c r="AJ45" s="22"/>
      <c r="AK45" s="12">
        <v>441.36</v>
      </c>
      <c r="AL45" s="12">
        <f t="shared" si="0"/>
        <v>0</v>
      </c>
      <c r="AM45" s="24"/>
      <c r="AN45" s="24"/>
    </row>
    <row r="46" spans="1:42" ht="71.25" customHeight="1" x14ac:dyDescent="0.2">
      <c r="A46" s="19" t="s">
        <v>131</v>
      </c>
      <c r="B46" s="12" t="s">
        <v>129</v>
      </c>
      <c r="C46" s="21">
        <v>2210</v>
      </c>
      <c r="D46" s="12"/>
      <c r="E46" s="12">
        <v>200</v>
      </c>
      <c r="F46" s="12">
        <f t="shared" si="4"/>
        <v>200</v>
      </c>
      <c r="G46" s="13"/>
      <c r="H46" s="12"/>
      <c r="I46" s="12"/>
      <c r="J46" s="12"/>
      <c r="K46" s="13"/>
      <c r="L46" s="13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 t="s">
        <v>59</v>
      </c>
      <c r="AG46" s="12">
        <v>150</v>
      </c>
      <c r="AH46" s="20"/>
      <c r="AI46" s="28"/>
      <c r="AJ46" s="22"/>
      <c r="AL46" s="12">
        <f t="shared" si="0"/>
        <v>150</v>
      </c>
      <c r="AM46" s="24"/>
      <c r="AN46" s="24"/>
    </row>
    <row r="47" spans="1:42" ht="45" customHeight="1" x14ac:dyDescent="0.2">
      <c r="A47" s="19" t="s">
        <v>132</v>
      </c>
      <c r="B47" s="12" t="s">
        <v>133</v>
      </c>
      <c r="C47" s="21">
        <v>2210</v>
      </c>
      <c r="D47" s="12"/>
      <c r="E47" s="26" t="s">
        <v>134</v>
      </c>
      <c r="F47" s="12">
        <v>830</v>
      </c>
      <c r="G47" s="27"/>
      <c r="H47" s="13"/>
      <c r="I47" s="13"/>
      <c r="J47" s="12">
        <v>880</v>
      </c>
      <c r="K47" s="13"/>
      <c r="L47" s="13"/>
      <c r="M47" s="12"/>
      <c r="N47" s="12"/>
      <c r="O47" s="12"/>
      <c r="P47" s="12"/>
      <c r="Q47" s="12"/>
      <c r="R47" s="12"/>
      <c r="S47" s="12"/>
      <c r="T47" s="12">
        <v>1169</v>
      </c>
      <c r="U47" s="12"/>
      <c r="V47" s="12">
        <v>4617</v>
      </c>
      <c r="W47" s="12"/>
      <c r="X47" s="12"/>
      <c r="Y47" s="12"/>
      <c r="Z47" s="12"/>
      <c r="AA47" s="12"/>
      <c r="AB47" s="12"/>
      <c r="AC47" s="12"/>
      <c r="AD47" s="12"/>
      <c r="AE47" s="12"/>
      <c r="AF47" s="12" t="s">
        <v>135</v>
      </c>
      <c r="AG47" s="12">
        <f>184+129.96</f>
        <v>313.96000000000004</v>
      </c>
      <c r="AH47" s="12"/>
      <c r="AI47" s="12"/>
      <c r="AJ47" s="22"/>
      <c r="AK47" s="12">
        <v>184</v>
      </c>
      <c r="AL47" s="12">
        <f t="shared" si="0"/>
        <v>129.96000000000004</v>
      </c>
    </row>
    <row r="48" spans="1:42" ht="60" customHeight="1" x14ac:dyDescent="0.2">
      <c r="A48" s="19" t="s">
        <v>136</v>
      </c>
      <c r="B48" s="12" t="s">
        <v>133</v>
      </c>
      <c r="C48" s="21">
        <v>2210</v>
      </c>
      <c r="D48" s="12"/>
      <c r="E48" s="26" t="s">
        <v>134</v>
      </c>
      <c r="F48" s="12">
        <v>830</v>
      </c>
      <c r="G48" s="27"/>
      <c r="H48" s="13"/>
      <c r="I48" s="13"/>
      <c r="J48" s="12">
        <v>880</v>
      </c>
      <c r="K48" s="13"/>
      <c r="L48" s="13"/>
      <c r="M48" s="12"/>
      <c r="N48" s="12"/>
      <c r="O48" s="12"/>
      <c r="P48" s="12"/>
      <c r="Q48" s="12"/>
      <c r="R48" s="12"/>
      <c r="S48" s="12"/>
      <c r="T48" s="12">
        <v>1169</v>
      </c>
      <c r="U48" s="12"/>
      <c r="V48" s="12">
        <v>4617</v>
      </c>
      <c r="W48" s="12"/>
      <c r="X48" s="12"/>
      <c r="Y48" s="12"/>
      <c r="Z48" s="12"/>
      <c r="AA48" s="12"/>
      <c r="AB48" s="12"/>
      <c r="AC48" s="12"/>
      <c r="AD48" s="12"/>
      <c r="AE48" s="12"/>
      <c r="AF48" s="12" t="s">
        <v>137</v>
      </c>
      <c r="AG48" s="12">
        <v>153</v>
      </c>
      <c r="AH48" s="12"/>
      <c r="AI48" s="12"/>
      <c r="AJ48" s="22"/>
      <c r="AK48" s="12">
        <v>153</v>
      </c>
      <c r="AL48" s="12">
        <f t="shared" si="0"/>
        <v>0</v>
      </c>
    </row>
    <row r="49" spans="1:40" ht="60" x14ac:dyDescent="0.2">
      <c r="A49" s="19" t="s">
        <v>138</v>
      </c>
      <c r="B49" s="12" t="s">
        <v>133</v>
      </c>
      <c r="C49" s="21">
        <v>2210</v>
      </c>
      <c r="D49" s="12"/>
      <c r="E49" s="26" t="s">
        <v>134</v>
      </c>
      <c r="F49" s="12">
        <v>830</v>
      </c>
      <c r="G49" s="27"/>
      <c r="H49" s="13"/>
      <c r="I49" s="13"/>
      <c r="J49" s="12">
        <v>880</v>
      </c>
      <c r="K49" s="13"/>
      <c r="L49" s="13"/>
      <c r="M49" s="12"/>
      <c r="N49" s="12"/>
      <c r="O49" s="12"/>
      <c r="P49" s="12"/>
      <c r="Q49" s="12"/>
      <c r="R49" s="12"/>
      <c r="S49" s="12"/>
      <c r="T49" s="12">
        <v>1169</v>
      </c>
      <c r="U49" s="12"/>
      <c r="V49" s="12">
        <v>4617</v>
      </c>
      <c r="W49" s="12"/>
      <c r="X49" s="12"/>
      <c r="Y49" s="12"/>
      <c r="Z49" s="12"/>
      <c r="AA49" s="12"/>
      <c r="AB49" s="12"/>
      <c r="AC49" s="12"/>
      <c r="AD49" s="12"/>
      <c r="AE49" s="12"/>
      <c r="AF49" s="12" t="s">
        <v>139</v>
      </c>
      <c r="AG49" s="12">
        <v>90</v>
      </c>
      <c r="AH49" s="12"/>
      <c r="AI49" s="12"/>
      <c r="AJ49" s="22"/>
      <c r="AK49" s="12">
        <v>90</v>
      </c>
      <c r="AL49" s="12">
        <f t="shared" si="0"/>
        <v>0</v>
      </c>
    </row>
    <row r="50" spans="1:40" ht="90" x14ac:dyDescent="0.2">
      <c r="A50" s="19" t="s">
        <v>140</v>
      </c>
      <c r="B50" s="12" t="s">
        <v>133</v>
      </c>
      <c r="C50" s="21">
        <v>2210</v>
      </c>
      <c r="D50" s="12"/>
      <c r="E50" s="12"/>
      <c r="F50" s="12"/>
      <c r="G50" s="13"/>
      <c r="H50" s="12"/>
      <c r="I50" s="12"/>
      <c r="J50" s="12"/>
      <c r="K50" s="13"/>
      <c r="L50" s="13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 t="s">
        <v>141</v>
      </c>
      <c r="AG50" s="12">
        <f>4500-25.42</f>
        <v>4474.58</v>
      </c>
      <c r="AH50" s="12"/>
      <c r="AI50" s="12"/>
      <c r="AJ50" s="22"/>
      <c r="AK50" s="12">
        <v>4474.58</v>
      </c>
      <c r="AL50" s="12">
        <f t="shared" si="0"/>
        <v>0</v>
      </c>
      <c r="AM50" s="24"/>
      <c r="AN50" s="24"/>
    </row>
    <row r="51" spans="1:40" ht="75" x14ac:dyDescent="0.2">
      <c r="A51" s="19" t="s">
        <v>142</v>
      </c>
      <c r="B51" s="12" t="s">
        <v>133</v>
      </c>
      <c r="C51" s="21">
        <v>2210</v>
      </c>
      <c r="D51" s="12"/>
      <c r="E51" s="12"/>
      <c r="F51" s="12"/>
      <c r="G51" s="13"/>
      <c r="H51" s="12"/>
      <c r="I51" s="12"/>
      <c r="J51" s="12"/>
      <c r="K51" s="13"/>
      <c r="L51" s="13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21" t="s">
        <v>143</v>
      </c>
      <c r="AG51" s="12">
        <v>230.16</v>
      </c>
      <c r="AH51" s="12"/>
      <c r="AI51" s="12"/>
      <c r="AJ51" s="22"/>
      <c r="AL51" s="12">
        <f t="shared" si="0"/>
        <v>230.16</v>
      </c>
      <c r="AM51" s="24"/>
      <c r="AN51" s="24"/>
    </row>
    <row r="52" spans="1:40" ht="79.5" customHeight="1" x14ac:dyDescent="0.2">
      <c r="A52" s="19" t="s">
        <v>144</v>
      </c>
      <c r="B52" s="12" t="s">
        <v>133</v>
      </c>
      <c r="C52" s="21">
        <v>2210</v>
      </c>
      <c r="D52" s="12"/>
      <c r="E52" s="26" t="s">
        <v>134</v>
      </c>
      <c r="F52" s="12">
        <v>830</v>
      </c>
      <c r="G52" s="27"/>
      <c r="H52" s="13"/>
      <c r="I52" s="13"/>
      <c r="J52" s="12">
        <v>880</v>
      </c>
      <c r="K52" s="13"/>
      <c r="L52" s="13"/>
      <c r="M52" s="12"/>
      <c r="N52" s="12"/>
      <c r="O52" s="12"/>
      <c r="P52" s="12"/>
      <c r="Q52" s="12"/>
      <c r="R52" s="12"/>
      <c r="S52" s="12"/>
      <c r="T52" s="12">
        <v>1169</v>
      </c>
      <c r="U52" s="12"/>
      <c r="V52" s="12">
        <v>4617</v>
      </c>
      <c r="W52" s="12"/>
      <c r="X52" s="12"/>
      <c r="Y52" s="12"/>
      <c r="Z52" s="12"/>
      <c r="AA52" s="12"/>
      <c r="AB52" s="12"/>
      <c r="AC52" s="12"/>
      <c r="AD52" s="12"/>
      <c r="AE52" s="12"/>
      <c r="AF52" s="12" t="s">
        <v>145</v>
      </c>
      <c r="AG52" s="12">
        <f>2200-10</f>
        <v>2190</v>
      </c>
      <c r="AH52" s="12"/>
      <c r="AI52" s="12"/>
      <c r="AJ52" s="22"/>
      <c r="AK52" s="12">
        <v>2190</v>
      </c>
      <c r="AL52" s="12">
        <f t="shared" si="0"/>
        <v>0</v>
      </c>
    </row>
    <row r="53" spans="1:40" ht="73.5" customHeight="1" x14ac:dyDescent="0.2">
      <c r="A53" s="19" t="s">
        <v>146</v>
      </c>
      <c r="B53" s="12" t="s">
        <v>147</v>
      </c>
      <c r="C53" s="21">
        <v>2210</v>
      </c>
      <c r="D53" s="12"/>
      <c r="E53" s="26"/>
      <c r="F53" s="12"/>
      <c r="G53" s="27"/>
      <c r="H53" s="13"/>
      <c r="I53" s="13"/>
      <c r="J53" s="13"/>
      <c r="K53" s="13"/>
      <c r="L53" s="13"/>
      <c r="M53" s="12"/>
      <c r="N53" s="12">
        <v>131.04</v>
      </c>
      <c r="O53" s="12"/>
      <c r="P53" s="12"/>
      <c r="Q53" s="12"/>
      <c r="R53" s="30">
        <v>183.84</v>
      </c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21" t="s">
        <v>148</v>
      </c>
      <c r="AG53" s="12">
        <f>180-24</f>
        <v>156</v>
      </c>
      <c r="AH53" s="12"/>
      <c r="AI53" s="12"/>
      <c r="AJ53" s="22"/>
      <c r="AK53" s="12">
        <v>156</v>
      </c>
      <c r="AL53" s="12">
        <f t="shared" si="0"/>
        <v>0</v>
      </c>
    </row>
    <row r="54" spans="1:40" ht="66" customHeight="1" x14ac:dyDescent="0.2">
      <c r="A54" s="19" t="s">
        <v>149</v>
      </c>
      <c r="B54" s="12" t="s">
        <v>147</v>
      </c>
      <c r="C54" s="21">
        <v>2210</v>
      </c>
      <c r="D54" s="12"/>
      <c r="E54" s="26"/>
      <c r="F54" s="12"/>
      <c r="G54" s="27"/>
      <c r="H54" s="13"/>
      <c r="I54" s="13"/>
      <c r="J54" s="13"/>
      <c r="K54" s="13"/>
      <c r="L54" s="13"/>
      <c r="M54" s="12"/>
      <c r="N54" s="12">
        <v>131.04</v>
      </c>
      <c r="O54" s="12"/>
      <c r="P54" s="12"/>
      <c r="Q54" s="12"/>
      <c r="R54" s="30">
        <v>183.84</v>
      </c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21" t="s">
        <v>150</v>
      </c>
      <c r="AG54" s="12">
        <v>138.6</v>
      </c>
      <c r="AH54" s="12"/>
      <c r="AI54" s="12"/>
      <c r="AJ54" s="22"/>
      <c r="AK54" s="12">
        <v>138.6</v>
      </c>
      <c r="AL54" s="12">
        <f t="shared" si="0"/>
        <v>0</v>
      </c>
    </row>
    <row r="55" spans="1:40" ht="105" x14ac:dyDescent="0.2">
      <c r="A55" s="19" t="s">
        <v>151</v>
      </c>
      <c r="B55" s="12" t="s">
        <v>147</v>
      </c>
      <c r="C55" s="21">
        <v>2210</v>
      </c>
      <c r="D55" s="12"/>
      <c r="E55" s="26"/>
      <c r="F55" s="12"/>
      <c r="G55" s="27"/>
      <c r="H55" s="13"/>
      <c r="I55" s="13"/>
      <c r="J55" s="13"/>
      <c r="K55" s="13"/>
      <c r="L55" s="13"/>
      <c r="M55" s="12"/>
      <c r="N55" s="12">
        <v>131.04</v>
      </c>
      <c r="O55" s="12"/>
      <c r="P55" s="12"/>
      <c r="Q55" s="12"/>
      <c r="R55" s="30">
        <v>183.84</v>
      </c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21" t="s">
        <v>152</v>
      </c>
      <c r="AG55" s="12">
        <v>98.4</v>
      </c>
      <c r="AH55" s="12"/>
      <c r="AI55" s="12"/>
      <c r="AJ55" s="22"/>
      <c r="AK55" s="12">
        <v>98.4</v>
      </c>
      <c r="AL55" s="12">
        <f t="shared" si="0"/>
        <v>0</v>
      </c>
    </row>
    <row r="56" spans="1:40" ht="76.5" customHeight="1" x14ac:dyDescent="0.2">
      <c r="A56" s="19" t="s">
        <v>153</v>
      </c>
      <c r="B56" s="12" t="s">
        <v>147</v>
      </c>
      <c r="C56" s="21">
        <v>2210</v>
      </c>
      <c r="D56" s="12"/>
      <c r="E56" s="26"/>
      <c r="F56" s="12"/>
      <c r="G56" s="27"/>
      <c r="H56" s="13"/>
      <c r="I56" s="13"/>
      <c r="J56" s="13"/>
      <c r="K56" s="13"/>
      <c r="L56" s="13"/>
      <c r="M56" s="12"/>
      <c r="N56" s="12">
        <v>131.04</v>
      </c>
      <c r="O56" s="12"/>
      <c r="P56" s="12"/>
      <c r="Q56" s="12"/>
      <c r="R56" s="30">
        <v>183.84</v>
      </c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21" t="s">
        <v>152</v>
      </c>
      <c r="AG56" s="12">
        <v>98.4</v>
      </c>
      <c r="AH56" s="12"/>
      <c r="AI56" s="12"/>
      <c r="AJ56" s="22"/>
      <c r="AK56" s="12">
        <v>98.4</v>
      </c>
      <c r="AL56" s="12">
        <f t="shared" si="0"/>
        <v>0</v>
      </c>
    </row>
    <row r="57" spans="1:40" ht="90" x14ac:dyDescent="0.2">
      <c r="A57" s="19" t="s">
        <v>154</v>
      </c>
      <c r="B57" s="12" t="s">
        <v>147</v>
      </c>
      <c r="C57" s="21">
        <v>2210</v>
      </c>
      <c r="D57" s="12"/>
      <c r="E57" s="26"/>
      <c r="F57" s="12"/>
      <c r="G57" s="27"/>
      <c r="H57" s="13"/>
      <c r="I57" s="13"/>
      <c r="J57" s="13"/>
      <c r="K57" s="13"/>
      <c r="L57" s="13"/>
      <c r="M57" s="12"/>
      <c r="N57" s="12">
        <v>131.04</v>
      </c>
      <c r="O57" s="12"/>
      <c r="P57" s="12"/>
      <c r="Q57" s="12"/>
      <c r="R57" s="30">
        <v>183.84</v>
      </c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21" t="s">
        <v>137</v>
      </c>
      <c r="AG57" s="12">
        <v>153</v>
      </c>
      <c r="AH57" s="12"/>
      <c r="AI57" s="12"/>
      <c r="AJ57" s="22"/>
      <c r="AK57" s="12">
        <v>153</v>
      </c>
      <c r="AL57" s="12">
        <f t="shared" si="0"/>
        <v>0</v>
      </c>
    </row>
    <row r="58" spans="1:40" ht="119.25" customHeight="1" x14ac:dyDescent="0.2">
      <c r="A58" s="19" t="s">
        <v>155</v>
      </c>
      <c r="B58" s="20"/>
      <c r="C58" s="21">
        <v>2210</v>
      </c>
      <c r="D58" s="20"/>
      <c r="E58" s="20"/>
      <c r="F58" s="12"/>
      <c r="G58" s="13"/>
      <c r="H58" s="12"/>
      <c r="I58" s="12"/>
      <c r="J58" s="12"/>
      <c r="K58" s="13"/>
      <c r="L58" s="13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21" t="s">
        <v>156</v>
      </c>
      <c r="AG58" s="12">
        <v>25.56</v>
      </c>
      <c r="AH58" s="12"/>
      <c r="AI58" s="12"/>
      <c r="AJ58" s="22"/>
      <c r="AK58" s="12">
        <f>46.2+70</f>
        <v>116.2</v>
      </c>
      <c r="AL58" s="12">
        <f t="shared" si="0"/>
        <v>-90.64</v>
      </c>
      <c r="AM58" s="24"/>
      <c r="AN58" s="24"/>
    </row>
    <row r="59" spans="1:40" ht="81" customHeight="1" x14ac:dyDescent="0.2">
      <c r="A59" s="19" t="s">
        <v>157</v>
      </c>
      <c r="B59" s="20"/>
      <c r="C59" s="21">
        <v>2210</v>
      </c>
      <c r="D59" s="20"/>
      <c r="E59" s="20"/>
      <c r="F59" s="12"/>
      <c r="G59" s="13"/>
      <c r="H59" s="12"/>
      <c r="I59" s="12"/>
      <c r="J59" s="12"/>
      <c r="K59" s="13"/>
      <c r="L59" s="13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21" t="s">
        <v>158</v>
      </c>
      <c r="AG59" s="12">
        <f>220.74+105</f>
        <v>325.74</v>
      </c>
      <c r="AH59" s="12"/>
      <c r="AI59" s="12"/>
      <c r="AJ59" s="22"/>
      <c r="AK59" s="12">
        <f>46.2+70</f>
        <v>116.2</v>
      </c>
      <c r="AL59" s="12">
        <f t="shared" si="0"/>
        <v>209.54000000000002</v>
      </c>
      <c r="AM59" s="24"/>
      <c r="AN59" s="24"/>
    </row>
    <row r="60" spans="1:40" ht="81" customHeight="1" x14ac:dyDescent="0.2">
      <c r="A60" s="19" t="s">
        <v>159</v>
      </c>
      <c r="B60" s="20"/>
      <c r="C60" s="21">
        <v>2210</v>
      </c>
      <c r="D60" s="20"/>
      <c r="E60" s="20"/>
      <c r="F60" s="12"/>
      <c r="G60" s="13"/>
      <c r="H60" s="12"/>
      <c r="I60" s="12"/>
      <c r="J60" s="12"/>
      <c r="K60" s="13"/>
      <c r="L60" s="13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21" t="s">
        <v>160</v>
      </c>
      <c r="AG60" s="12">
        <f>70+50</f>
        <v>120</v>
      </c>
      <c r="AH60" s="12"/>
      <c r="AI60" s="12"/>
      <c r="AJ60" s="22"/>
      <c r="AK60" s="12">
        <f>46.2+70</f>
        <v>116.2</v>
      </c>
      <c r="AL60" s="12">
        <f t="shared" si="0"/>
        <v>3.7999999999999972</v>
      </c>
      <c r="AM60" s="24"/>
      <c r="AN60" s="24"/>
    </row>
    <row r="61" spans="1:40" ht="90" customHeight="1" x14ac:dyDescent="0.2">
      <c r="A61" s="19" t="s">
        <v>161</v>
      </c>
      <c r="B61" s="21" t="s">
        <v>162</v>
      </c>
      <c r="C61" s="21">
        <v>2210</v>
      </c>
      <c r="D61" s="12">
        <v>30000</v>
      </c>
      <c r="E61" s="12"/>
      <c r="F61" s="12">
        <f t="shared" ref="F61:F62" si="5">D61+E61</f>
        <v>30000</v>
      </c>
      <c r="G61" s="7"/>
      <c r="H61" s="12"/>
      <c r="I61" s="12"/>
      <c r="J61" s="12"/>
      <c r="K61" s="12">
        <v>-220</v>
      </c>
      <c r="L61" s="14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>
        <f>205.44-216.61</f>
        <v>-11.170000000000016</v>
      </c>
      <c r="AA61" s="12"/>
      <c r="AB61" s="12"/>
      <c r="AC61" s="12"/>
      <c r="AD61" s="12"/>
      <c r="AE61" s="12"/>
      <c r="AF61" s="21" t="s">
        <v>163</v>
      </c>
      <c r="AG61" s="12">
        <v>196.2</v>
      </c>
      <c r="AH61" s="12"/>
      <c r="AI61" s="12"/>
      <c r="AJ61" s="22"/>
      <c r="AK61" s="12">
        <v>196.2</v>
      </c>
      <c r="AL61" s="12">
        <f t="shared" si="0"/>
        <v>0</v>
      </c>
      <c r="AM61" s="4" t="s">
        <v>164</v>
      </c>
    </row>
    <row r="62" spans="1:40" ht="90" customHeight="1" x14ac:dyDescent="0.2">
      <c r="A62" s="19" t="s">
        <v>165</v>
      </c>
      <c r="B62" s="21" t="s">
        <v>162</v>
      </c>
      <c r="C62" s="21">
        <v>2210</v>
      </c>
      <c r="D62" s="12">
        <v>30000</v>
      </c>
      <c r="E62" s="12"/>
      <c r="F62" s="12">
        <f t="shared" si="5"/>
        <v>30000</v>
      </c>
      <c r="G62" s="7"/>
      <c r="H62" s="12"/>
      <c r="I62" s="12"/>
      <c r="J62" s="12"/>
      <c r="K62" s="12">
        <v>-220</v>
      </c>
      <c r="L62" s="14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>
        <f>205.44-216.61</f>
        <v>-11.170000000000016</v>
      </c>
      <c r="AA62" s="12"/>
      <c r="AB62" s="12"/>
      <c r="AC62" s="12"/>
      <c r="AD62" s="12"/>
      <c r="AE62" s="12"/>
      <c r="AF62" s="21" t="s">
        <v>166</v>
      </c>
      <c r="AG62" s="12">
        <v>811.2</v>
      </c>
      <c r="AH62" s="12"/>
      <c r="AI62" s="12"/>
      <c r="AJ62" s="22"/>
      <c r="AK62" s="12">
        <v>196.2</v>
      </c>
      <c r="AL62" s="12">
        <f t="shared" si="0"/>
        <v>615</v>
      </c>
      <c r="AM62" s="4" t="s">
        <v>164</v>
      </c>
    </row>
    <row r="63" spans="1:40" ht="90" x14ac:dyDescent="0.2">
      <c r="A63" s="19" t="s">
        <v>167</v>
      </c>
      <c r="B63" s="12" t="s">
        <v>56</v>
      </c>
      <c r="C63" s="21">
        <v>2210</v>
      </c>
      <c r="D63" s="12"/>
      <c r="E63" s="26"/>
      <c r="F63" s="12"/>
      <c r="G63" s="27"/>
      <c r="H63" s="9"/>
      <c r="I63" s="12">
        <v>364</v>
      </c>
      <c r="J63" s="12"/>
      <c r="K63" s="13"/>
      <c r="L63" s="13"/>
      <c r="M63" s="12"/>
      <c r="N63" s="12">
        <v>116</v>
      </c>
      <c r="O63" s="12"/>
      <c r="P63" s="12"/>
      <c r="Q63" s="12"/>
      <c r="R63" s="12"/>
      <c r="S63" s="12"/>
      <c r="T63" s="12">
        <f>262.26+605</f>
        <v>867.26</v>
      </c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21" t="s">
        <v>168</v>
      </c>
      <c r="AG63" s="12">
        <f>11656.99+1632.9</f>
        <v>13289.89</v>
      </c>
      <c r="AH63" s="12"/>
      <c r="AI63" s="12"/>
      <c r="AJ63" s="22"/>
      <c r="AK63" s="25">
        <v>11656.99</v>
      </c>
      <c r="AL63" s="12">
        <f t="shared" si="0"/>
        <v>1632.8999999999996</v>
      </c>
    </row>
    <row r="64" spans="1:40" ht="75" x14ac:dyDescent="0.2">
      <c r="A64" s="19" t="s">
        <v>169</v>
      </c>
      <c r="B64" s="12" t="s">
        <v>56</v>
      </c>
      <c r="C64" s="21">
        <v>2210</v>
      </c>
      <c r="D64" s="12"/>
      <c r="E64" s="26"/>
      <c r="F64" s="12"/>
      <c r="G64" s="27"/>
      <c r="H64" s="9"/>
      <c r="I64" s="12">
        <v>364</v>
      </c>
      <c r="J64" s="12"/>
      <c r="K64" s="13"/>
      <c r="L64" s="13"/>
      <c r="M64" s="12"/>
      <c r="N64" s="12">
        <v>116</v>
      </c>
      <c r="O64" s="12"/>
      <c r="P64" s="12"/>
      <c r="Q64" s="12"/>
      <c r="R64" s="12"/>
      <c r="S64" s="12"/>
      <c r="T64" s="12">
        <f>262.26+605</f>
        <v>867.26</v>
      </c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21" t="s">
        <v>170</v>
      </c>
      <c r="AG64" s="12">
        <v>10000</v>
      </c>
      <c r="AH64" s="12"/>
      <c r="AI64" s="12"/>
      <c r="AJ64" s="22"/>
      <c r="AK64" s="25">
        <v>11656.99</v>
      </c>
      <c r="AL64" s="12">
        <f t="shared" si="0"/>
        <v>-1656.9899999999998</v>
      </c>
    </row>
    <row r="65" spans="1:42" ht="60" x14ac:dyDescent="0.2">
      <c r="A65" s="19" t="s">
        <v>171</v>
      </c>
      <c r="B65" s="12" t="s">
        <v>56</v>
      </c>
      <c r="C65" s="21">
        <v>2210</v>
      </c>
      <c r="D65" s="12"/>
      <c r="E65" s="26"/>
      <c r="F65" s="12"/>
      <c r="G65" s="27"/>
      <c r="H65" s="9"/>
      <c r="I65" s="12">
        <v>364</v>
      </c>
      <c r="J65" s="12"/>
      <c r="K65" s="13"/>
      <c r="L65" s="13"/>
      <c r="M65" s="12"/>
      <c r="N65" s="12">
        <v>116</v>
      </c>
      <c r="O65" s="12"/>
      <c r="P65" s="12"/>
      <c r="Q65" s="12"/>
      <c r="R65" s="12"/>
      <c r="S65" s="12"/>
      <c r="T65" s="12">
        <f>262.26+605</f>
        <v>867.26</v>
      </c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21" t="s">
        <v>172</v>
      </c>
      <c r="AG65" s="12">
        <f>45+136.08</f>
        <v>181.08</v>
      </c>
      <c r="AH65" s="12"/>
      <c r="AI65" s="12"/>
      <c r="AJ65" s="22"/>
      <c r="AK65" s="12">
        <v>45</v>
      </c>
      <c r="AL65" s="12">
        <f t="shared" si="0"/>
        <v>136.08000000000001</v>
      </c>
    </row>
    <row r="66" spans="1:42" ht="60" x14ac:dyDescent="0.2">
      <c r="A66" s="19" t="s">
        <v>173</v>
      </c>
      <c r="B66" s="12" t="s">
        <v>56</v>
      </c>
      <c r="C66" s="21">
        <v>2210</v>
      </c>
      <c r="D66" s="12"/>
      <c r="E66" s="26"/>
      <c r="F66" s="12"/>
      <c r="G66" s="27"/>
      <c r="H66" s="9"/>
      <c r="I66" s="12">
        <v>364</v>
      </c>
      <c r="J66" s="12"/>
      <c r="K66" s="13"/>
      <c r="L66" s="13"/>
      <c r="M66" s="12"/>
      <c r="N66" s="12">
        <v>116</v>
      </c>
      <c r="O66" s="12"/>
      <c r="P66" s="12"/>
      <c r="Q66" s="12"/>
      <c r="R66" s="12"/>
      <c r="S66" s="12"/>
      <c r="T66" s="12">
        <f>262.26+605</f>
        <v>867.26</v>
      </c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21" t="s">
        <v>174</v>
      </c>
      <c r="AG66" s="12">
        <v>222.96</v>
      </c>
      <c r="AH66" s="12"/>
      <c r="AI66" s="12"/>
      <c r="AJ66" s="22"/>
      <c r="AK66" s="12">
        <v>222.96</v>
      </c>
      <c r="AL66" s="12">
        <f t="shared" si="0"/>
        <v>0</v>
      </c>
    </row>
    <row r="67" spans="1:42" ht="75" x14ac:dyDescent="0.2">
      <c r="A67" s="19" t="s">
        <v>175</v>
      </c>
      <c r="B67" s="12"/>
      <c r="C67" s="21">
        <v>2210</v>
      </c>
      <c r="D67" s="12"/>
      <c r="E67" s="26"/>
      <c r="F67" s="12"/>
      <c r="G67" s="27"/>
      <c r="H67" s="9"/>
      <c r="I67" s="12"/>
      <c r="J67" s="12"/>
      <c r="K67" s="13"/>
      <c r="L67" s="13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21" t="s">
        <v>176</v>
      </c>
      <c r="AG67" s="12">
        <v>232.8</v>
      </c>
      <c r="AH67" s="12"/>
      <c r="AI67" s="12"/>
      <c r="AJ67" s="22"/>
      <c r="AK67" s="12">
        <v>232.8</v>
      </c>
      <c r="AL67" s="12">
        <f t="shared" si="0"/>
        <v>0</v>
      </c>
    </row>
    <row r="68" spans="1:42" ht="60" x14ac:dyDescent="0.2">
      <c r="A68" s="19" t="s">
        <v>177</v>
      </c>
      <c r="B68" s="12" t="s">
        <v>56</v>
      </c>
      <c r="C68" s="21">
        <v>2210</v>
      </c>
      <c r="D68" s="12"/>
      <c r="E68" s="26"/>
      <c r="F68" s="12"/>
      <c r="G68" s="27"/>
      <c r="H68" s="9"/>
      <c r="I68" s="12">
        <v>364</v>
      </c>
      <c r="J68" s="12"/>
      <c r="K68" s="13"/>
      <c r="L68" s="13"/>
      <c r="M68" s="12"/>
      <c r="N68" s="12">
        <v>116</v>
      </c>
      <c r="O68" s="12"/>
      <c r="P68" s="12"/>
      <c r="Q68" s="12"/>
      <c r="R68" s="12"/>
      <c r="S68" s="12"/>
      <c r="T68" s="12">
        <f>262.26+605</f>
        <v>867.26</v>
      </c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21" t="s">
        <v>178</v>
      </c>
      <c r="AG68" s="12">
        <v>108.48</v>
      </c>
      <c r="AH68" s="12"/>
      <c r="AI68" s="12"/>
      <c r="AJ68" s="22"/>
      <c r="AK68" s="12">
        <v>108.48</v>
      </c>
      <c r="AL68" s="12">
        <f t="shared" si="0"/>
        <v>0</v>
      </c>
    </row>
    <row r="69" spans="1:42" ht="75" x14ac:dyDescent="0.2">
      <c r="A69" s="19" t="s">
        <v>179</v>
      </c>
      <c r="B69" s="12" t="s">
        <v>56</v>
      </c>
      <c r="C69" s="21">
        <v>2210</v>
      </c>
      <c r="D69" s="12"/>
      <c r="E69" s="26"/>
      <c r="F69" s="12"/>
      <c r="G69" s="27"/>
      <c r="H69" s="9"/>
      <c r="I69" s="12">
        <v>364</v>
      </c>
      <c r="J69" s="12"/>
      <c r="K69" s="13"/>
      <c r="L69" s="13"/>
      <c r="M69" s="12"/>
      <c r="N69" s="12">
        <v>116</v>
      </c>
      <c r="O69" s="12"/>
      <c r="P69" s="12"/>
      <c r="Q69" s="12"/>
      <c r="R69" s="12"/>
      <c r="S69" s="12"/>
      <c r="T69" s="12">
        <f>262.26+605</f>
        <v>867.26</v>
      </c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21" t="s">
        <v>180</v>
      </c>
      <c r="AG69" s="12">
        <v>27.72</v>
      </c>
      <c r="AH69" s="12"/>
      <c r="AI69" s="12"/>
      <c r="AJ69" s="22"/>
      <c r="AK69" s="12">
        <v>27.72</v>
      </c>
      <c r="AL69" s="12">
        <f t="shared" si="0"/>
        <v>0</v>
      </c>
    </row>
    <row r="70" spans="1:42" ht="75" x14ac:dyDescent="0.2">
      <c r="A70" s="19" t="s">
        <v>181</v>
      </c>
      <c r="B70" s="12" t="s">
        <v>56</v>
      </c>
      <c r="C70" s="21">
        <v>2210</v>
      </c>
      <c r="D70" s="12"/>
      <c r="E70" s="26"/>
      <c r="F70" s="12"/>
      <c r="G70" s="27"/>
      <c r="H70" s="9"/>
      <c r="I70" s="12">
        <v>364</v>
      </c>
      <c r="J70" s="12"/>
      <c r="K70" s="13"/>
      <c r="L70" s="13"/>
      <c r="M70" s="12"/>
      <c r="N70" s="12">
        <v>116</v>
      </c>
      <c r="O70" s="12"/>
      <c r="P70" s="12"/>
      <c r="Q70" s="12"/>
      <c r="R70" s="12"/>
      <c r="S70" s="12"/>
      <c r="T70" s="12">
        <f>262.26+605</f>
        <v>867.26</v>
      </c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21" t="s">
        <v>182</v>
      </c>
      <c r="AG70" s="12">
        <f>1485+128.8</f>
        <v>1613.8</v>
      </c>
      <c r="AH70" s="12"/>
      <c r="AI70" s="12"/>
      <c r="AJ70" s="22"/>
      <c r="AK70" s="12">
        <f>1485+128.8</f>
        <v>1613.8</v>
      </c>
      <c r="AL70" s="12">
        <f t="shared" si="0"/>
        <v>0</v>
      </c>
    </row>
    <row r="71" spans="1:42" s="23" customFormat="1" ht="51.75" customHeight="1" x14ac:dyDescent="0.2">
      <c r="A71" s="19" t="s">
        <v>183</v>
      </c>
      <c r="B71" s="20" t="s">
        <v>41</v>
      </c>
      <c r="C71" s="21">
        <v>2210</v>
      </c>
      <c r="D71" s="11">
        <v>2210</v>
      </c>
      <c r="E71" s="8"/>
      <c r="F71" s="8"/>
      <c r="G71" s="8"/>
      <c r="H71" s="8"/>
      <c r="I71" s="12"/>
      <c r="J71" s="12"/>
      <c r="K71" s="12"/>
      <c r="L71" s="13"/>
      <c r="M71" s="13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21" t="s">
        <v>184</v>
      </c>
      <c r="AG71" s="12">
        <v>331.92</v>
      </c>
      <c r="AH71" s="12"/>
      <c r="AI71" s="12"/>
      <c r="AJ71" s="22"/>
      <c r="AK71" s="12">
        <v>360</v>
      </c>
      <c r="AL71" s="12">
        <f t="shared" si="0"/>
        <v>-28.079999999999984</v>
      </c>
      <c r="AM71" s="3"/>
      <c r="AN71" s="3"/>
      <c r="AO71" s="3"/>
      <c r="AP71" s="3"/>
    </row>
    <row r="72" spans="1:42" ht="75" x14ac:dyDescent="0.2">
      <c r="A72" s="19" t="s">
        <v>185</v>
      </c>
      <c r="B72" s="20"/>
      <c r="C72" s="21">
        <v>2210</v>
      </c>
      <c r="D72" s="20"/>
      <c r="E72" s="20"/>
      <c r="F72" s="12"/>
      <c r="G72" s="13"/>
      <c r="H72" s="12"/>
      <c r="I72" s="12"/>
      <c r="J72" s="12"/>
      <c r="K72" s="13"/>
      <c r="L72" s="13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21" t="s">
        <v>186</v>
      </c>
      <c r="AG72" s="12">
        <f>1700+283.6</f>
        <v>1983.6</v>
      </c>
      <c r="AH72" s="12"/>
      <c r="AI72" s="12"/>
      <c r="AJ72" s="22"/>
      <c r="AK72" s="12">
        <v>1983.6</v>
      </c>
      <c r="AL72" s="12">
        <f t="shared" si="0"/>
        <v>0</v>
      </c>
      <c r="AM72" s="24"/>
      <c r="AN72" s="24"/>
    </row>
    <row r="73" spans="1:42" ht="49.5" customHeight="1" x14ac:dyDescent="0.2">
      <c r="A73" s="19" t="s">
        <v>187</v>
      </c>
      <c r="B73" s="20"/>
      <c r="C73" s="21">
        <v>2210</v>
      </c>
      <c r="D73" s="20"/>
      <c r="E73" s="20"/>
      <c r="F73" s="12"/>
      <c r="G73" s="13"/>
      <c r="H73" s="12"/>
      <c r="I73" s="12"/>
      <c r="J73" s="12"/>
      <c r="K73" s="13"/>
      <c r="L73" s="13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21" t="s">
        <v>188</v>
      </c>
      <c r="AG73" s="12">
        <v>182</v>
      </c>
      <c r="AH73" s="12"/>
      <c r="AI73" s="12"/>
      <c r="AJ73" s="22"/>
      <c r="AK73" s="12">
        <v>182</v>
      </c>
      <c r="AL73" s="12">
        <f t="shared" si="0"/>
        <v>0</v>
      </c>
      <c r="AM73" s="24"/>
      <c r="AN73" s="24"/>
    </row>
    <row r="74" spans="1:42" ht="78.75" customHeight="1" x14ac:dyDescent="0.2">
      <c r="A74" s="19" t="s">
        <v>189</v>
      </c>
      <c r="B74" s="20"/>
      <c r="C74" s="21">
        <v>2210</v>
      </c>
      <c r="D74" s="20"/>
      <c r="E74" s="20"/>
      <c r="F74" s="12"/>
      <c r="G74" s="13"/>
      <c r="H74" s="12"/>
      <c r="I74" s="12"/>
      <c r="J74" s="12"/>
      <c r="K74" s="13"/>
      <c r="L74" s="13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21" t="s">
        <v>190</v>
      </c>
      <c r="AG74" s="12">
        <v>29.94</v>
      </c>
      <c r="AH74" s="12"/>
      <c r="AI74" s="12"/>
      <c r="AJ74" s="22"/>
      <c r="AK74" s="12">
        <v>29.94</v>
      </c>
      <c r="AL74" s="12">
        <f t="shared" ref="AL74:AL138" si="6">AG74-AK74</f>
        <v>0</v>
      </c>
      <c r="AM74" s="24"/>
      <c r="AN74" s="24"/>
    </row>
    <row r="75" spans="1:42" ht="78.75" customHeight="1" x14ac:dyDescent="0.2">
      <c r="A75" s="19" t="s">
        <v>191</v>
      </c>
      <c r="B75" s="20"/>
      <c r="C75" s="21">
        <v>2210</v>
      </c>
      <c r="D75" s="20"/>
      <c r="E75" s="20"/>
      <c r="F75" s="12"/>
      <c r="G75" s="13"/>
      <c r="H75" s="12"/>
      <c r="I75" s="12"/>
      <c r="J75" s="12"/>
      <c r="K75" s="13"/>
      <c r="L75" s="13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21" t="s">
        <v>192</v>
      </c>
      <c r="AG75" s="12">
        <f>1000-76.03</f>
        <v>923.97</v>
      </c>
      <c r="AH75" s="12"/>
      <c r="AI75" s="12"/>
      <c r="AJ75" s="22"/>
      <c r="AK75" s="12">
        <v>923.97</v>
      </c>
      <c r="AL75" s="12">
        <f t="shared" si="6"/>
        <v>0</v>
      </c>
      <c r="AM75" s="24"/>
      <c r="AN75" s="24"/>
    </row>
    <row r="76" spans="1:42" ht="78.75" customHeight="1" x14ac:dyDescent="0.2">
      <c r="A76" s="19" t="s">
        <v>193</v>
      </c>
      <c r="B76" s="20"/>
      <c r="C76" s="21">
        <v>2210</v>
      </c>
      <c r="D76" s="20"/>
      <c r="E76" s="20"/>
      <c r="F76" s="12"/>
      <c r="G76" s="13"/>
      <c r="H76" s="12"/>
      <c r="I76" s="12"/>
      <c r="J76" s="12"/>
      <c r="K76" s="13"/>
      <c r="L76" s="13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21" t="s">
        <v>194</v>
      </c>
      <c r="AG76" s="12">
        <v>41.88</v>
      </c>
      <c r="AH76" s="12"/>
      <c r="AI76" s="12"/>
      <c r="AJ76" s="22"/>
      <c r="AK76" s="12">
        <v>30</v>
      </c>
      <c r="AL76" s="12">
        <f t="shared" si="6"/>
        <v>11.880000000000003</v>
      </c>
      <c r="AM76" s="24"/>
      <c r="AN76" s="24"/>
    </row>
    <row r="77" spans="1:42" ht="78.75" customHeight="1" x14ac:dyDescent="0.2">
      <c r="A77" s="19" t="s">
        <v>195</v>
      </c>
      <c r="B77" s="20"/>
      <c r="C77" s="21">
        <v>2210</v>
      </c>
      <c r="D77" s="20"/>
      <c r="E77" s="20"/>
      <c r="F77" s="12"/>
      <c r="G77" s="13"/>
      <c r="H77" s="12"/>
      <c r="I77" s="12"/>
      <c r="J77" s="12"/>
      <c r="K77" s="13"/>
      <c r="L77" s="13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21" t="s">
        <v>196</v>
      </c>
      <c r="AG77" s="12">
        <v>70</v>
      </c>
      <c r="AH77" s="12"/>
      <c r="AI77" s="12"/>
      <c r="AJ77" s="22"/>
      <c r="AK77" s="12">
        <v>30</v>
      </c>
      <c r="AL77" s="12">
        <f t="shared" si="6"/>
        <v>40</v>
      </c>
      <c r="AM77" s="24"/>
      <c r="AN77" s="24"/>
    </row>
    <row r="78" spans="1:42" ht="49.5" customHeight="1" x14ac:dyDescent="0.2">
      <c r="A78" s="19" t="s">
        <v>197</v>
      </c>
      <c r="B78" s="20"/>
      <c r="C78" s="21">
        <v>2210</v>
      </c>
      <c r="D78" s="20"/>
      <c r="E78" s="20"/>
      <c r="F78" s="12"/>
      <c r="G78" s="13"/>
      <c r="H78" s="12"/>
      <c r="I78" s="12"/>
      <c r="J78" s="12"/>
      <c r="K78" s="13"/>
      <c r="L78" s="13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21" t="s">
        <v>198</v>
      </c>
      <c r="AG78" s="12">
        <v>30</v>
      </c>
      <c r="AH78" s="12"/>
      <c r="AI78" s="12"/>
      <c r="AJ78" s="22"/>
      <c r="AK78" s="12">
        <v>30</v>
      </c>
      <c r="AL78" s="12">
        <f t="shared" si="6"/>
        <v>0</v>
      </c>
      <c r="AM78" s="24"/>
      <c r="AN78" s="24"/>
    </row>
    <row r="79" spans="1:42" ht="64.5" customHeight="1" x14ac:dyDescent="0.2">
      <c r="A79" s="19" t="s">
        <v>199</v>
      </c>
      <c r="B79" s="28"/>
      <c r="C79" s="21">
        <v>2210</v>
      </c>
      <c r="D79" s="28"/>
      <c r="E79" s="28"/>
      <c r="F79" s="12"/>
      <c r="G79" s="13"/>
      <c r="H79" s="12"/>
      <c r="I79" s="12"/>
      <c r="J79" s="12"/>
      <c r="K79" s="13"/>
      <c r="L79" s="13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21" t="s">
        <v>200</v>
      </c>
      <c r="AG79" s="12">
        <f>150+50+97.5</f>
        <v>297.5</v>
      </c>
      <c r="AH79" s="12"/>
      <c r="AI79" s="12"/>
      <c r="AJ79" s="22"/>
      <c r="AK79" s="12">
        <f>100+100</f>
        <v>200</v>
      </c>
      <c r="AL79" s="12">
        <f t="shared" si="6"/>
        <v>97.5</v>
      </c>
      <c r="AM79" s="24"/>
      <c r="AN79" s="24"/>
    </row>
    <row r="80" spans="1:42" ht="60.75" customHeight="1" x14ac:dyDescent="0.2">
      <c r="A80" s="19" t="s">
        <v>201</v>
      </c>
      <c r="B80" s="20"/>
      <c r="C80" s="21">
        <v>2210</v>
      </c>
      <c r="D80" s="20"/>
      <c r="E80" s="20"/>
      <c r="F80" s="12"/>
      <c r="G80" s="13"/>
      <c r="H80" s="12"/>
      <c r="I80" s="12"/>
      <c r="J80" s="12"/>
      <c r="K80" s="13"/>
      <c r="L80" s="13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21" t="s">
        <v>202</v>
      </c>
      <c r="AG80" s="12">
        <f>130+200+40</f>
        <v>370</v>
      </c>
      <c r="AH80" s="12"/>
      <c r="AI80" s="12"/>
      <c r="AJ80" s="22"/>
      <c r="AK80" s="12">
        <f>240+130</f>
        <v>370</v>
      </c>
      <c r="AL80" s="12">
        <f t="shared" si="6"/>
        <v>0</v>
      </c>
      <c r="AM80" s="24"/>
      <c r="AN80" s="24"/>
    </row>
    <row r="81" spans="1:42" ht="60" customHeight="1" x14ac:dyDescent="0.2">
      <c r="A81" s="19" t="s">
        <v>203</v>
      </c>
      <c r="B81" s="20"/>
      <c r="C81" s="21">
        <v>2210</v>
      </c>
      <c r="D81" s="20"/>
      <c r="E81" s="20"/>
      <c r="F81" s="12"/>
      <c r="G81" s="13"/>
      <c r="H81" s="12"/>
      <c r="I81" s="12"/>
      <c r="J81" s="12"/>
      <c r="K81" s="13"/>
      <c r="L81" s="13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21" t="s">
        <v>204</v>
      </c>
      <c r="AG81" s="12">
        <f>55.62+31+46.5</f>
        <v>133.12</v>
      </c>
      <c r="AH81" s="12"/>
      <c r="AI81" s="12"/>
      <c r="AJ81" s="22"/>
      <c r="AK81" s="12">
        <v>32</v>
      </c>
      <c r="AL81" s="12">
        <f t="shared" si="6"/>
        <v>101.12</v>
      </c>
      <c r="AM81" s="24"/>
      <c r="AN81" s="24"/>
    </row>
    <row r="82" spans="1:42" ht="60" customHeight="1" x14ac:dyDescent="0.2">
      <c r="A82" s="19" t="s">
        <v>205</v>
      </c>
      <c r="B82" s="20"/>
      <c r="C82" s="21">
        <v>2210</v>
      </c>
      <c r="D82" s="20"/>
      <c r="E82" s="20"/>
      <c r="F82" s="12"/>
      <c r="G82" s="13"/>
      <c r="H82" s="12"/>
      <c r="I82" s="12"/>
      <c r="J82" s="12"/>
      <c r="K82" s="13"/>
      <c r="L82" s="13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21" t="s">
        <v>206</v>
      </c>
      <c r="AG82" s="12">
        <f>350-11</f>
        <v>339</v>
      </c>
      <c r="AH82" s="12"/>
      <c r="AI82" s="12"/>
      <c r="AJ82" s="22"/>
      <c r="AK82" s="12">
        <v>339</v>
      </c>
      <c r="AL82" s="12">
        <f t="shared" si="6"/>
        <v>0</v>
      </c>
      <c r="AM82" s="24"/>
      <c r="AN82" s="24"/>
    </row>
    <row r="83" spans="1:42" ht="60" customHeight="1" x14ac:dyDescent="0.2">
      <c r="A83" s="19" t="s">
        <v>207</v>
      </c>
      <c r="B83" s="20"/>
      <c r="C83" s="21">
        <v>2210</v>
      </c>
      <c r="D83" s="20"/>
      <c r="E83" s="20"/>
      <c r="F83" s="12"/>
      <c r="G83" s="13"/>
      <c r="H83" s="12"/>
      <c r="I83" s="12"/>
      <c r="J83" s="12"/>
      <c r="K83" s="13"/>
      <c r="L83" s="13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21" t="s">
        <v>208</v>
      </c>
      <c r="AG83" s="12">
        <v>675</v>
      </c>
      <c r="AH83" s="12"/>
      <c r="AI83" s="12"/>
      <c r="AJ83" s="22"/>
      <c r="AK83" s="12">
        <v>675</v>
      </c>
      <c r="AL83" s="12">
        <f t="shared" si="6"/>
        <v>0</v>
      </c>
      <c r="AM83" s="24"/>
      <c r="AN83" s="24"/>
    </row>
    <row r="84" spans="1:42" ht="47.25" customHeight="1" x14ac:dyDescent="0.2">
      <c r="A84" s="19" t="s">
        <v>209</v>
      </c>
      <c r="B84" s="28"/>
      <c r="C84" s="21">
        <v>2210</v>
      </c>
      <c r="D84" s="28"/>
      <c r="E84" s="28"/>
      <c r="F84" s="12"/>
      <c r="G84" s="13"/>
      <c r="H84" s="12"/>
      <c r="I84" s="12"/>
      <c r="J84" s="12"/>
      <c r="K84" s="13"/>
      <c r="L84" s="13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21" t="s">
        <v>210</v>
      </c>
      <c r="AG84" s="12">
        <v>212.5</v>
      </c>
      <c r="AH84" s="12"/>
      <c r="AI84" s="12"/>
      <c r="AJ84" s="22"/>
      <c r="AK84" s="12">
        <v>212.5</v>
      </c>
      <c r="AL84" s="12">
        <f t="shared" si="6"/>
        <v>0</v>
      </c>
      <c r="AM84" s="24"/>
      <c r="AN84" s="24"/>
    </row>
    <row r="85" spans="1:42" ht="62.25" customHeight="1" x14ac:dyDescent="0.2">
      <c r="A85" s="19" t="s">
        <v>211</v>
      </c>
      <c r="B85" s="28"/>
      <c r="C85" s="21">
        <v>2210</v>
      </c>
      <c r="D85" s="28"/>
      <c r="E85" s="28"/>
      <c r="F85" s="12"/>
      <c r="G85" s="13"/>
      <c r="H85" s="12"/>
      <c r="I85" s="12"/>
      <c r="J85" s="12"/>
      <c r="K85" s="13"/>
      <c r="L85" s="13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21" t="s">
        <v>212</v>
      </c>
      <c r="AG85" s="12">
        <f>91.02+180+149.04</f>
        <v>420.05999999999995</v>
      </c>
      <c r="AH85" s="12"/>
      <c r="AI85" s="12"/>
      <c r="AJ85" s="22"/>
      <c r="AK85" s="12">
        <v>91.02</v>
      </c>
      <c r="AL85" s="12">
        <f t="shared" si="6"/>
        <v>329.03999999999996</v>
      </c>
      <c r="AM85" s="24"/>
      <c r="AN85" s="24"/>
    </row>
    <row r="86" spans="1:42" ht="42.75" customHeight="1" x14ac:dyDescent="0.2">
      <c r="A86" s="19" t="s">
        <v>213</v>
      </c>
      <c r="B86" s="20"/>
      <c r="C86" s="21">
        <v>2210</v>
      </c>
      <c r="D86" s="20"/>
      <c r="E86" s="20"/>
      <c r="F86" s="12"/>
      <c r="G86" s="13"/>
      <c r="H86" s="12"/>
      <c r="I86" s="12"/>
      <c r="J86" s="12"/>
      <c r="K86" s="13"/>
      <c r="L86" s="13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21" t="s">
        <v>214</v>
      </c>
      <c r="AG86" s="12">
        <v>50</v>
      </c>
      <c r="AH86" s="12"/>
      <c r="AI86" s="12"/>
      <c r="AJ86" s="22"/>
      <c r="AK86" s="12">
        <v>50</v>
      </c>
      <c r="AL86" s="12">
        <f t="shared" si="6"/>
        <v>0</v>
      </c>
      <c r="AM86" s="24"/>
      <c r="AN86" s="24"/>
    </row>
    <row r="87" spans="1:42" ht="51.75" customHeight="1" x14ac:dyDescent="0.2">
      <c r="A87" s="19" t="s">
        <v>215</v>
      </c>
      <c r="B87" s="20"/>
      <c r="C87" s="21">
        <v>2210</v>
      </c>
      <c r="D87" s="20"/>
      <c r="E87" s="20"/>
      <c r="F87" s="12"/>
      <c r="G87" s="13"/>
      <c r="H87" s="12"/>
      <c r="I87" s="12"/>
      <c r="J87" s="12"/>
      <c r="K87" s="13"/>
      <c r="L87" s="13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21" t="s">
        <v>216</v>
      </c>
      <c r="AG87" s="12">
        <v>100</v>
      </c>
      <c r="AH87" s="12"/>
      <c r="AI87" s="12"/>
      <c r="AJ87" s="22"/>
      <c r="AK87" s="12">
        <v>100</v>
      </c>
      <c r="AL87" s="12">
        <f t="shared" si="6"/>
        <v>0</v>
      </c>
      <c r="AM87" s="24"/>
      <c r="AN87" s="24"/>
    </row>
    <row r="88" spans="1:42" ht="75.75" customHeight="1" x14ac:dyDescent="0.2">
      <c r="A88" s="31" t="s">
        <v>217</v>
      </c>
      <c r="B88" s="31"/>
      <c r="C88" s="31"/>
      <c r="D88" s="31"/>
      <c r="E88" s="32"/>
      <c r="F88" s="12"/>
      <c r="G88" s="13"/>
      <c r="H88" s="12"/>
      <c r="I88" s="12"/>
      <c r="J88" s="12"/>
      <c r="K88" s="13"/>
      <c r="L88" s="13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21" t="s">
        <v>218</v>
      </c>
      <c r="AG88" s="12">
        <v>60</v>
      </c>
      <c r="AH88" s="12"/>
      <c r="AI88" s="12"/>
      <c r="AJ88" s="22"/>
      <c r="AK88" s="12">
        <v>0</v>
      </c>
      <c r="AL88" s="12">
        <f t="shared" si="6"/>
        <v>60</v>
      </c>
      <c r="AM88" s="24"/>
      <c r="AN88" s="24"/>
    </row>
    <row r="89" spans="1:42" ht="81.75" customHeight="1" x14ac:dyDescent="0.2">
      <c r="A89" s="19" t="s">
        <v>219</v>
      </c>
      <c r="B89" s="20"/>
      <c r="C89" s="21">
        <v>2210</v>
      </c>
      <c r="D89" s="20"/>
      <c r="E89" s="20"/>
      <c r="F89" s="12"/>
      <c r="G89" s="13"/>
      <c r="H89" s="12"/>
      <c r="I89" s="12"/>
      <c r="J89" s="12"/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21" t="s">
        <v>220</v>
      </c>
      <c r="AG89" s="12">
        <v>39.36</v>
      </c>
      <c r="AH89" s="12"/>
      <c r="AI89" s="12"/>
      <c r="AJ89" s="22"/>
      <c r="AK89" s="12">
        <v>39.36</v>
      </c>
      <c r="AL89" s="12">
        <f t="shared" si="6"/>
        <v>0</v>
      </c>
      <c r="AM89" s="24"/>
      <c r="AN89" s="24"/>
    </row>
    <row r="90" spans="1:42" s="23" customFormat="1" ht="64.5" customHeight="1" x14ac:dyDescent="0.2">
      <c r="A90" s="19" t="s">
        <v>221</v>
      </c>
      <c r="B90" s="20" t="s">
        <v>222</v>
      </c>
      <c r="C90" s="21">
        <v>2210</v>
      </c>
      <c r="D90" s="21">
        <v>2210</v>
      </c>
      <c r="E90" s="12"/>
      <c r="F90" s="26"/>
      <c r="G90" s="12"/>
      <c r="H90" s="27"/>
      <c r="I90" s="9"/>
      <c r="J90" s="13"/>
      <c r="K90" s="13"/>
      <c r="L90" s="13"/>
      <c r="M90" s="13"/>
      <c r="N90" s="12"/>
      <c r="O90" s="12"/>
      <c r="P90" s="12"/>
      <c r="Q90" s="12"/>
      <c r="R90" s="12"/>
      <c r="S90" s="26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20" t="s">
        <v>223</v>
      </c>
      <c r="AG90" s="12">
        <f>1000+1050</f>
        <v>2050</v>
      </c>
      <c r="AH90" s="12"/>
      <c r="AI90" s="12"/>
      <c r="AJ90" s="22"/>
      <c r="AK90" s="25">
        <f>1000+1050</f>
        <v>2050</v>
      </c>
      <c r="AL90" s="12">
        <f t="shared" si="6"/>
        <v>0</v>
      </c>
      <c r="AM90" s="3"/>
      <c r="AN90" s="3"/>
      <c r="AO90" s="3"/>
      <c r="AP90" s="3"/>
    </row>
    <row r="91" spans="1:42" s="23" customFormat="1" ht="66.75" customHeight="1" x14ac:dyDescent="0.2">
      <c r="A91" s="19" t="s">
        <v>224</v>
      </c>
      <c r="B91" s="20" t="s">
        <v>222</v>
      </c>
      <c r="C91" s="21">
        <v>2210</v>
      </c>
      <c r="D91" s="21">
        <v>2210</v>
      </c>
      <c r="E91" s="12"/>
      <c r="F91" s="26"/>
      <c r="G91" s="12"/>
      <c r="H91" s="27"/>
      <c r="I91" s="9"/>
      <c r="J91" s="13"/>
      <c r="K91" s="13"/>
      <c r="L91" s="13"/>
      <c r="M91" s="13"/>
      <c r="N91" s="12"/>
      <c r="O91" s="12"/>
      <c r="P91" s="12"/>
      <c r="Q91" s="12"/>
      <c r="R91" s="12"/>
      <c r="S91" s="26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20" t="s">
        <v>225</v>
      </c>
      <c r="AG91" s="12">
        <v>700</v>
      </c>
      <c r="AH91" s="12"/>
      <c r="AI91" s="12"/>
      <c r="AJ91" s="22"/>
      <c r="AK91" s="25">
        <v>700</v>
      </c>
      <c r="AL91" s="12">
        <f t="shared" si="6"/>
        <v>0</v>
      </c>
      <c r="AM91" s="3"/>
      <c r="AN91" s="3"/>
      <c r="AO91" s="3"/>
      <c r="AP91" s="3"/>
    </row>
    <row r="92" spans="1:42" s="23" customFormat="1" ht="76.5" customHeight="1" x14ac:dyDescent="0.2">
      <c r="A92" s="19" t="s">
        <v>226</v>
      </c>
      <c r="B92" s="20" t="s">
        <v>222</v>
      </c>
      <c r="C92" s="21">
        <v>2210</v>
      </c>
      <c r="D92" s="21">
        <v>2210</v>
      </c>
      <c r="E92" s="12"/>
      <c r="F92" s="26"/>
      <c r="G92" s="12"/>
      <c r="H92" s="27"/>
      <c r="I92" s="9"/>
      <c r="J92" s="13"/>
      <c r="K92" s="13"/>
      <c r="L92" s="13"/>
      <c r="M92" s="13"/>
      <c r="N92" s="12"/>
      <c r="O92" s="12"/>
      <c r="P92" s="12"/>
      <c r="Q92" s="12"/>
      <c r="R92" s="12"/>
      <c r="S92" s="26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20" t="s">
        <v>227</v>
      </c>
      <c r="AG92" s="12">
        <f>4050-1170</f>
        <v>2880</v>
      </c>
      <c r="AH92" s="12"/>
      <c r="AI92" s="12"/>
      <c r="AJ92" s="22"/>
      <c r="AK92" s="12">
        <v>2880</v>
      </c>
      <c r="AL92" s="12">
        <f t="shared" si="6"/>
        <v>0</v>
      </c>
      <c r="AM92" s="3"/>
      <c r="AN92" s="3"/>
      <c r="AO92" s="3"/>
      <c r="AP92" s="3"/>
    </row>
    <row r="93" spans="1:42" ht="76.5" customHeight="1" x14ac:dyDescent="0.2">
      <c r="A93" s="19" t="s">
        <v>228</v>
      </c>
      <c r="B93" s="12"/>
      <c r="C93" s="21">
        <v>2210</v>
      </c>
      <c r="D93" s="12"/>
      <c r="E93" s="12"/>
      <c r="F93" s="12"/>
      <c r="G93" s="13"/>
      <c r="H93" s="12"/>
      <c r="I93" s="12"/>
      <c r="J93" s="12"/>
      <c r="K93" s="13"/>
      <c r="L93" s="13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 t="s">
        <v>229</v>
      </c>
      <c r="AG93" s="12">
        <f>1421+194.2</f>
        <v>1615.2</v>
      </c>
      <c r="AH93" s="28"/>
      <c r="AI93" s="12"/>
      <c r="AJ93" s="22"/>
      <c r="AK93" s="12">
        <v>1615.2</v>
      </c>
      <c r="AL93" s="12">
        <f t="shared" si="6"/>
        <v>0</v>
      </c>
      <c r="AM93" s="24"/>
      <c r="AN93" s="24"/>
    </row>
    <row r="94" spans="1:42" s="23" customFormat="1" ht="99" customHeight="1" x14ac:dyDescent="0.2">
      <c r="A94" s="19" t="s">
        <v>230</v>
      </c>
      <c r="B94" s="20" t="s">
        <v>222</v>
      </c>
      <c r="C94" s="21">
        <v>2210</v>
      </c>
      <c r="D94" s="21">
        <v>2210</v>
      </c>
      <c r="E94" s="12"/>
      <c r="F94" s="26"/>
      <c r="G94" s="12"/>
      <c r="H94" s="27"/>
      <c r="I94" s="9"/>
      <c r="J94" s="13"/>
      <c r="K94" s="13"/>
      <c r="L94" s="13"/>
      <c r="M94" s="13"/>
      <c r="N94" s="12"/>
      <c r="O94" s="12"/>
      <c r="P94" s="12"/>
      <c r="Q94" s="12"/>
      <c r="R94" s="12"/>
      <c r="S94" s="26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21" t="s">
        <v>231</v>
      </c>
      <c r="AG94" s="12">
        <v>183</v>
      </c>
      <c r="AH94" s="12"/>
      <c r="AI94" s="12"/>
      <c r="AJ94" s="22"/>
      <c r="AK94" s="12">
        <v>40</v>
      </c>
      <c r="AL94" s="12">
        <f t="shared" si="6"/>
        <v>143</v>
      </c>
      <c r="AM94" s="3"/>
      <c r="AN94" s="3"/>
      <c r="AO94" s="3"/>
      <c r="AP94" s="3"/>
    </row>
    <row r="95" spans="1:42" s="23" customFormat="1" ht="99" customHeight="1" x14ac:dyDescent="0.2">
      <c r="A95" s="19" t="s">
        <v>232</v>
      </c>
      <c r="B95" s="20" t="s">
        <v>222</v>
      </c>
      <c r="C95" s="21">
        <v>2210</v>
      </c>
      <c r="D95" s="21">
        <v>2210</v>
      </c>
      <c r="E95" s="12"/>
      <c r="F95" s="26"/>
      <c r="G95" s="12"/>
      <c r="H95" s="27"/>
      <c r="I95" s="9"/>
      <c r="J95" s="13"/>
      <c r="K95" s="13"/>
      <c r="L95" s="13"/>
      <c r="M95" s="13"/>
      <c r="N95" s="12"/>
      <c r="O95" s="12"/>
      <c r="P95" s="12"/>
      <c r="Q95" s="12"/>
      <c r="R95" s="12"/>
      <c r="S95" s="26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 t="s">
        <v>233</v>
      </c>
      <c r="AG95" s="12">
        <v>165.96</v>
      </c>
      <c r="AH95" s="12"/>
      <c r="AI95" s="12"/>
      <c r="AJ95" s="22"/>
      <c r="AK95" s="12">
        <v>40</v>
      </c>
      <c r="AL95" s="12">
        <f t="shared" si="6"/>
        <v>125.96000000000001</v>
      </c>
      <c r="AM95" s="3"/>
      <c r="AN95" s="3"/>
      <c r="AO95" s="3"/>
      <c r="AP95" s="3"/>
    </row>
    <row r="96" spans="1:42" s="23" customFormat="1" ht="76.5" customHeight="1" x14ac:dyDescent="0.2">
      <c r="A96" s="19" t="s">
        <v>234</v>
      </c>
      <c r="B96" s="20" t="s">
        <v>222</v>
      </c>
      <c r="C96" s="21">
        <v>2210</v>
      </c>
      <c r="D96" s="21">
        <v>2210</v>
      </c>
      <c r="E96" s="12"/>
      <c r="F96" s="26"/>
      <c r="G96" s="12"/>
      <c r="H96" s="27"/>
      <c r="I96" s="9"/>
      <c r="J96" s="13"/>
      <c r="K96" s="13"/>
      <c r="L96" s="13"/>
      <c r="M96" s="13"/>
      <c r="N96" s="12"/>
      <c r="O96" s="12"/>
      <c r="P96" s="12"/>
      <c r="Q96" s="12"/>
      <c r="R96" s="12"/>
      <c r="S96" s="26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20" t="s">
        <v>235</v>
      </c>
      <c r="AG96" s="12">
        <v>40</v>
      </c>
      <c r="AH96" s="12"/>
      <c r="AI96" s="12"/>
      <c r="AJ96" s="22"/>
      <c r="AK96" s="12">
        <v>40</v>
      </c>
      <c r="AL96" s="12">
        <f t="shared" si="6"/>
        <v>0</v>
      </c>
      <c r="AM96" s="3"/>
      <c r="AN96" s="3"/>
      <c r="AO96" s="3"/>
      <c r="AP96" s="3"/>
    </row>
    <row r="97" spans="1:42" s="23" customFormat="1" ht="99" customHeight="1" x14ac:dyDescent="0.2">
      <c r="A97" s="19" t="s">
        <v>236</v>
      </c>
      <c r="B97" s="20" t="s">
        <v>222</v>
      </c>
      <c r="C97" s="21">
        <v>2210</v>
      </c>
      <c r="D97" s="21">
        <v>2210</v>
      </c>
      <c r="E97" s="12"/>
      <c r="F97" s="26"/>
      <c r="G97" s="12"/>
      <c r="H97" s="27"/>
      <c r="I97" s="9"/>
      <c r="J97" s="13"/>
      <c r="K97" s="13"/>
      <c r="L97" s="13"/>
      <c r="M97" s="13"/>
      <c r="N97" s="12"/>
      <c r="O97" s="12"/>
      <c r="P97" s="12"/>
      <c r="Q97" s="12"/>
      <c r="R97" s="12"/>
      <c r="S97" s="26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20" t="s">
        <v>237</v>
      </c>
      <c r="AG97" s="12">
        <v>133.80000000000001</v>
      </c>
      <c r="AH97" s="12"/>
      <c r="AI97" s="12"/>
      <c r="AJ97" s="22"/>
      <c r="AK97" s="12">
        <v>40</v>
      </c>
      <c r="AL97" s="12">
        <f t="shared" si="6"/>
        <v>93.800000000000011</v>
      </c>
      <c r="AM97" s="3"/>
      <c r="AN97" s="3"/>
      <c r="AO97" s="3"/>
      <c r="AP97" s="3"/>
    </row>
    <row r="98" spans="1:42" s="23" customFormat="1" ht="76.5" customHeight="1" x14ac:dyDescent="0.2">
      <c r="A98" s="19" t="s">
        <v>238</v>
      </c>
      <c r="B98" s="20" t="s">
        <v>222</v>
      </c>
      <c r="C98" s="21">
        <v>2210</v>
      </c>
      <c r="D98" s="21">
        <v>2210</v>
      </c>
      <c r="E98" s="12"/>
      <c r="F98" s="26"/>
      <c r="G98" s="12"/>
      <c r="H98" s="27"/>
      <c r="I98" s="9"/>
      <c r="J98" s="13"/>
      <c r="K98" s="13"/>
      <c r="L98" s="13"/>
      <c r="M98" s="13"/>
      <c r="N98" s="12"/>
      <c r="O98" s="12"/>
      <c r="P98" s="12"/>
      <c r="Q98" s="12"/>
      <c r="R98" s="12"/>
      <c r="S98" s="26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20" t="s">
        <v>239</v>
      </c>
      <c r="AG98" s="12">
        <f>176.2+600</f>
        <v>776.2</v>
      </c>
      <c r="AH98" s="12"/>
      <c r="AI98" s="12"/>
      <c r="AJ98" s="22"/>
      <c r="AK98" s="12">
        <v>155.52000000000001</v>
      </c>
      <c r="AL98" s="12">
        <f t="shared" si="6"/>
        <v>620.68000000000006</v>
      </c>
      <c r="AM98" s="3"/>
      <c r="AN98" s="3"/>
      <c r="AO98" s="3"/>
      <c r="AP98" s="3"/>
    </row>
    <row r="99" spans="1:42" s="23" customFormat="1" ht="76.5" customHeight="1" x14ac:dyDescent="0.2">
      <c r="A99" s="19" t="s">
        <v>240</v>
      </c>
      <c r="B99" s="20" t="s">
        <v>222</v>
      </c>
      <c r="C99" s="21">
        <v>2210</v>
      </c>
      <c r="D99" s="21">
        <v>2210</v>
      </c>
      <c r="E99" s="12"/>
      <c r="F99" s="26"/>
      <c r="G99" s="12"/>
      <c r="H99" s="27"/>
      <c r="I99" s="9"/>
      <c r="J99" s="13"/>
      <c r="K99" s="13"/>
      <c r="L99" s="13"/>
      <c r="M99" s="13"/>
      <c r="N99" s="12"/>
      <c r="O99" s="12"/>
      <c r="P99" s="12"/>
      <c r="Q99" s="12"/>
      <c r="R99" s="12"/>
      <c r="S99" s="26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20" t="s">
        <v>241</v>
      </c>
      <c r="AG99" s="12">
        <v>770</v>
      </c>
      <c r="AH99" s="12"/>
      <c r="AI99" s="12"/>
      <c r="AJ99" s="22"/>
      <c r="AK99" s="12">
        <v>770</v>
      </c>
      <c r="AL99" s="12">
        <f t="shared" si="6"/>
        <v>0</v>
      </c>
      <c r="AM99" s="3"/>
      <c r="AN99" s="3"/>
      <c r="AO99" s="3"/>
      <c r="AP99" s="3"/>
    </row>
    <row r="100" spans="1:42" s="23" customFormat="1" ht="76.5" customHeight="1" x14ac:dyDescent="0.2">
      <c r="A100" s="19" t="s">
        <v>242</v>
      </c>
      <c r="B100" s="20" t="s">
        <v>222</v>
      </c>
      <c r="C100" s="21">
        <v>2210</v>
      </c>
      <c r="D100" s="21">
        <v>2210</v>
      </c>
      <c r="E100" s="12"/>
      <c r="F100" s="26"/>
      <c r="G100" s="12"/>
      <c r="H100" s="27"/>
      <c r="I100" s="9"/>
      <c r="J100" s="13"/>
      <c r="K100" s="13"/>
      <c r="L100" s="13"/>
      <c r="M100" s="13"/>
      <c r="N100" s="12"/>
      <c r="O100" s="12"/>
      <c r="P100" s="12"/>
      <c r="Q100" s="12"/>
      <c r="R100" s="12"/>
      <c r="S100" s="26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20" t="s">
        <v>243</v>
      </c>
      <c r="AG100" s="12">
        <f>500+269.8</f>
        <v>769.8</v>
      </c>
      <c r="AH100" s="12"/>
      <c r="AI100" s="12"/>
      <c r="AJ100" s="22"/>
      <c r="AK100" s="12">
        <v>769.8</v>
      </c>
      <c r="AL100" s="12">
        <f t="shared" si="6"/>
        <v>0</v>
      </c>
      <c r="AM100" s="3">
        <f>5052+5052+5844+5844</f>
        <v>21792</v>
      </c>
      <c r="AN100" s="3"/>
      <c r="AO100" s="3"/>
      <c r="AP100" s="3"/>
    </row>
    <row r="101" spans="1:42" s="23" customFormat="1" ht="76.5" customHeight="1" x14ac:dyDescent="0.2">
      <c r="A101" s="19" t="s">
        <v>244</v>
      </c>
      <c r="B101" s="20" t="s">
        <v>222</v>
      </c>
      <c r="C101" s="21">
        <v>2210</v>
      </c>
      <c r="D101" s="21">
        <v>2210</v>
      </c>
      <c r="E101" s="12"/>
      <c r="F101" s="26"/>
      <c r="G101" s="12"/>
      <c r="H101" s="27"/>
      <c r="I101" s="9"/>
      <c r="J101" s="13"/>
      <c r="K101" s="13"/>
      <c r="L101" s="13"/>
      <c r="M101" s="13"/>
      <c r="N101" s="12"/>
      <c r="O101" s="12"/>
      <c r="P101" s="12"/>
      <c r="Q101" s="12"/>
      <c r="R101" s="12"/>
      <c r="S101" s="26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20" t="s">
        <v>245</v>
      </c>
      <c r="AG101" s="12">
        <f>1600+1038+100-710+351.3</f>
        <v>2379.3000000000002</v>
      </c>
      <c r="AH101" s="12"/>
      <c r="AI101" s="12"/>
      <c r="AJ101" s="22"/>
      <c r="AK101" s="12">
        <f>679.3+1600+100</f>
        <v>2379.3000000000002</v>
      </c>
      <c r="AL101" s="12">
        <f t="shared" si="6"/>
        <v>0</v>
      </c>
      <c r="AM101" s="33">
        <f>1600+100</f>
        <v>1700</v>
      </c>
      <c r="AN101" s="3"/>
      <c r="AO101" s="3"/>
      <c r="AP101" s="3"/>
    </row>
    <row r="102" spans="1:42" s="23" customFormat="1" ht="76.5" customHeight="1" x14ac:dyDescent="0.2">
      <c r="A102" s="19" t="s">
        <v>246</v>
      </c>
      <c r="B102" s="20" t="s">
        <v>222</v>
      </c>
      <c r="C102" s="21">
        <v>2210</v>
      </c>
      <c r="D102" s="21">
        <v>2210</v>
      </c>
      <c r="E102" s="12"/>
      <c r="F102" s="26"/>
      <c r="G102" s="12"/>
      <c r="H102" s="27"/>
      <c r="I102" s="9"/>
      <c r="J102" s="13"/>
      <c r="K102" s="13"/>
      <c r="L102" s="13"/>
      <c r="M102" s="13"/>
      <c r="N102" s="12"/>
      <c r="O102" s="12"/>
      <c r="P102" s="12"/>
      <c r="Q102" s="12"/>
      <c r="R102" s="12"/>
      <c r="S102" s="26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20" t="s">
        <v>247</v>
      </c>
      <c r="AG102" s="12">
        <f>1250+1250-151</f>
        <v>2349</v>
      </c>
      <c r="AH102" s="12"/>
      <c r="AI102" s="12"/>
      <c r="AJ102" s="22"/>
      <c r="AK102" s="12">
        <v>2349</v>
      </c>
      <c r="AL102" s="12">
        <f t="shared" si="6"/>
        <v>0</v>
      </c>
      <c r="AM102" s="3"/>
      <c r="AN102" s="3"/>
      <c r="AO102" s="3"/>
      <c r="AP102" s="3"/>
    </row>
    <row r="103" spans="1:42" s="23" customFormat="1" ht="106.5" customHeight="1" x14ac:dyDescent="0.2">
      <c r="A103" s="19" t="s">
        <v>248</v>
      </c>
      <c r="B103" s="20" t="s">
        <v>222</v>
      </c>
      <c r="C103" s="21">
        <v>2210</v>
      </c>
      <c r="D103" s="21">
        <v>2210</v>
      </c>
      <c r="E103" s="12"/>
      <c r="F103" s="26"/>
      <c r="G103" s="12"/>
      <c r="H103" s="27"/>
      <c r="I103" s="9"/>
      <c r="J103" s="13"/>
      <c r="K103" s="13"/>
      <c r="L103" s="13"/>
      <c r="M103" s="13"/>
      <c r="N103" s="12"/>
      <c r="O103" s="12"/>
      <c r="P103" s="12"/>
      <c r="Q103" s="12"/>
      <c r="R103" s="12"/>
      <c r="S103" s="26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20" t="s">
        <v>249</v>
      </c>
      <c r="AG103" s="12">
        <v>2747.82</v>
      </c>
      <c r="AH103" s="12"/>
      <c r="AI103" s="12"/>
      <c r="AJ103" s="22"/>
      <c r="AK103" s="12">
        <v>1512</v>
      </c>
      <c r="AL103" s="12">
        <f t="shared" si="6"/>
        <v>1235.8200000000002</v>
      </c>
      <c r="AM103" s="3"/>
      <c r="AN103" s="3"/>
      <c r="AO103" s="3"/>
      <c r="AP103" s="3"/>
    </row>
    <row r="104" spans="1:42" ht="79.5" customHeight="1" x14ac:dyDescent="0.2">
      <c r="A104" s="19" t="s">
        <v>250</v>
      </c>
      <c r="B104" s="12" t="s">
        <v>95</v>
      </c>
      <c r="C104" s="21">
        <v>2210</v>
      </c>
      <c r="D104" s="12">
        <v>5000</v>
      </c>
      <c r="E104" s="12">
        <v>54000</v>
      </c>
      <c r="F104" s="12">
        <f>D104+E104</f>
        <v>59000</v>
      </c>
      <c r="G104" s="13"/>
      <c r="H104" s="12"/>
      <c r="I104" s="12"/>
      <c r="J104" s="12"/>
      <c r="K104" s="13"/>
      <c r="L104" s="13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20" t="s">
        <v>251</v>
      </c>
      <c r="AG104" s="12">
        <v>563.99</v>
      </c>
      <c r="AH104" s="20"/>
      <c r="AI104" s="28"/>
      <c r="AJ104" s="22"/>
      <c r="AK104" s="12">
        <v>563.99</v>
      </c>
      <c r="AL104" s="12">
        <f t="shared" si="6"/>
        <v>0</v>
      </c>
      <c r="AM104" s="24"/>
      <c r="AN104" s="24"/>
    </row>
    <row r="105" spans="1:42" s="23" customFormat="1" ht="106.5" customHeight="1" x14ac:dyDescent="0.2">
      <c r="A105" s="19" t="s">
        <v>252</v>
      </c>
      <c r="B105" s="20" t="s">
        <v>222</v>
      </c>
      <c r="C105" s="21">
        <v>2210</v>
      </c>
      <c r="D105" s="21">
        <v>2210</v>
      </c>
      <c r="E105" s="12"/>
      <c r="F105" s="26"/>
      <c r="G105" s="12"/>
      <c r="H105" s="27"/>
      <c r="I105" s="9"/>
      <c r="J105" s="13"/>
      <c r="K105" s="13"/>
      <c r="L105" s="13"/>
      <c r="M105" s="13"/>
      <c r="N105" s="12"/>
      <c r="O105" s="12"/>
      <c r="P105" s="12"/>
      <c r="Q105" s="12"/>
      <c r="R105" s="12"/>
      <c r="S105" s="26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20" t="s">
        <v>253</v>
      </c>
      <c r="AG105" s="12">
        <f>3900-729</f>
        <v>3171</v>
      </c>
      <c r="AH105" s="12"/>
      <c r="AI105" s="12"/>
      <c r="AJ105" s="22" t="s">
        <v>254</v>
      </c>
      <c r="AK105" s="12">
        <v>3900</v>
      </c>
      <c r="AL105" s="12">
        <f t="shared" si="6"/>
        <v>-729</v>
      </c>
      <c r="AM105" s="3"/>
      <c r="AN105" s="3"/>
      <c r="AO105" s="3"/>
      <c r="AP105" s="3"/>
    </row>
    <row r="106" spans="1:42" s="23" customFormat="1" ht="106.5" customHeight="1" x14ac:dyDescent="0.2">
      <c r="A106" s="19" t="s">
        <v>255</v>
      </c>
      <c r="B106" s="20" t="s">
        <v>222</v>
      </c>
      <c r="C106" s="21">
        <v>2210</v>
      </c>
      <c r="D106" s="21">
        <v>2210</v>
      </c>
      <c r="E106" s="12"/>
      <c r="F106" s="26"/>
      <c r="G106" s="12"/>
      <c r="H106" s="27"/>
      <c r="I106" s="9"/>
      <c r="J106" s="13"/>
      <c r="K106" s="13"/>
      <c r="L106" s="13"/>
      <c r="M106" s="13"/>
      <c r="N106" s="12"/>
      <c r="O106" s="12"/>
      <c r="P106" s="12"/>
      <c r="Q106" s="12"/>
      <c r="R106" s="12"/>
      <c r="S106" s="26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20" t="s">
        <v>256</v>
      </c>
      <c r="AG106" s="12">
        <v>3900</v>
      </c>
      <c r="AH106" s="12"/>
      <c r="AI106" s="12"/>
      <c r="AJ106" s="22"/>
      <c r="AK106" s="12">
        <v>3900</v>
      </c>
      <c r="AL106" s="12">
        <f t="shared" si="6"/>
        <v>0</v>
      </c>
      <c r="AM106" s="3"/>
      <c r="AN106" s="3"/>
      <c r="AO106" s="3"/>
      <c r="AP106" s="3"/>
    </row>
    <row r="107" spans="1:42" s="23" customFormat="1" ht="76.5" customHeight="1" x14ac:dyDescent="0.2">
      <c r="A107" s="19" t="s">
        <v>257</v>
      </c>
      <c r="B107" s="20" t="s">
        <v>222</v>
      </c>
      <c r="C107" s="21">
        <v>2210</v>
      </c>
      <c r="D107" s="21">
        <v>2210</v>
      </c>
      <c r="E107" s="12"/>
      <c r="F107" s="26"/>
      <c r="G107" s="12"/>
      <c r="H107" s="27"/>
      <c r="I107" s="9"/>
      <c r="J107" s="13"/>
      <c r="K107" s="13"/>
      <c r="L107" s="13"/>
      <c r="M107" s="13"/>
      <c r="N107" s="12"/>
      <c r="O107" s="12"/>
      <c r="P107" s="12"/>
      <c r="Q107" s="12"/>
      <c r="R107" s="12"/>
      <c r="S107" s="26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20" t="s">
        <v>258</v>
      </c>
      <c r="AG107" s="12">
        <v>2300</v>
      </c>
      <c r="AH107" s="12"/>
      <c r="AI107" s="12"/>
      <c r="AJ107" s="22"/>
      <c r="AK107" s="12">
        <v>2300</v>
      </c>
      <c r="AL107" s="12">
        <f t="shared" si="6"/>
        <v>0</v>
      </c>
      <c r="AM107" s="3"/>
      <c r="AN107" s="3"/>
      <c r="AO107" s="3"/>
      <c r="AP107" s="3"/>
    </row>
    <row r="108" spans="1:42" ht="75.75" customHeight="1" x14ac:dyDescent="0.2">
      <c r="A108" s="19" t="s">
        <v>259</v>
      </c>
      <c r="B108" s="12"/>
      <c r="C108" s="21">
        <v>2210</v>
      </c>
      <c r="D108" s="12"/>
      <c r="E108" s="26"/>
      <c r="F108" s="12"/>
      <c r="G108" s="27"/>
      <c r="H108" s="9"/>
      <c r="I108" s="12"/>
      <c r="J108" s="12"/>
      <c r="K108" s="13"/>
      <c r="L108" s="13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20" t="s">
        <v>260</v>
      </c>
      <c r="AG108" s="12">
        <f>1000</f>
        <v>1000</v>
      </c>
      <c r="AH108" s="12"/>
      <c r="AI108" s="12"/>
      <c r="AJ108" s="22"/>
      <c r="AK108" s="25">
        <v>1000</v>
      </c>
      <c r="AL108" s="12">
        <f t="shared" si="6"/>
        <v>0</v>
      </c>
    </row>
    <row r="109" spans="1:42" ht="75.75" customHeight="1" x14ac:dyDescent="0.2">
      <c r="A109" s="19" t="s">
        <v>261</v>
      </c>
      <c r="B109" s="12"/>
      <c r="C109" s="21">
        <v>2210</v>
      </c>
      <c r="D109" s="12"/>
      <c r="E109" s="26"/>
      <c r="F109" s="12"/>
      <c r="G109" s="27"/>
      <c r="H109" s="9"/>
      <c r="I109" s="12"/>
      <c r="J109" s="12"/>
      <c r="K109" s="13"/>
      <c r="L109" s="13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20" t="s">
        <v>262</v>
      </c>
      <c r="AG109" s="12">
        <f>1000+300</f>
        <v>1300</v>
      </c>
      <c r="AH109" s="12"/>
      <c r="AI109" s="12"/>
      <c r="AJ109" s="22"/>
      <c r="AK109" s="25">
        <f>1000+300</f>
        <v>1300</v>
      </c>
      <c r="AL109" s="12">
        <f t="shared" si="6"/>
        <v>0</v>
      </c>
    </row>
    <row r="110" spans="1:42" ht="75.75" customHeight="1" x14ac:dyDescent="0.2">
      <c r="A110" s="19" t="s">
        <v>263</v>
      </c>
      <c r="B110" s="12"/>
      <c r="C110" s="21">
        <v>2210</v>
      </c>
      <c r="D110" s="12"/>
      <c r="E110" s="26"/>
      <c r="F110" s="12"/>
      <c r="G110" s="27"/>
      <c r="H110" s="9"/>
      <c r="I110" s="12"/>
      <c r="J110" s="12"/>
      <c r="K110" s="13"/>
      <c r="L110" s="13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20" t="s">
        <v>264</v>
      </c>
      <c r="AG110" s="12">
        <f>300</f>
        <v>300</v>
      </c>
      <c r="AH110" s="12"/>
      <c r="AI110" s="12"/>
      <c r="AJ110" s="22"/>
      <c r="AK110" s="25">
        <v>300</v>
      </c>
      <c r="AL110" s="12">
        <f t="shared" si="6"/>
        <v>0</v>
      </c>
    </row>
    <row r="111" spans="1:42" ht="57" customHeight="1" x14ac:dyDescent="0.2">
      <c r="A111" s="19" t="s">
        <v>265</v>
      </c>
      <c r="B111" s="12"/>
      <c r="C111" s="21">
        <v>2210</v>
      </c>
      <c r="D111" s="12"/>
      <c r="E111" s="26"/>
      <c r="F111" s="12"/>
      <c r="G111" s="27"/>
      <c r="H111" s="9"/>
      <c r="I111" s="12"/>
      <c r="J111" s="12"/>
      <c r="K111" s="13"/>
      <c r="L111" s="13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20" t="s">
        <v>266</v>
      </c>
      <c r="AG111" s="12">
        <f>1000+1000</f>
        <v>2000</v>
      </c>
      <c r="AH111" s="12"/>
      <c r="AI111" s="12"/>
      <c r="AJ111" s="22"/>
      <c r="AK111" s="25">
        <f>1000+1000</f>
        <v>2000</v>
      </c>
      <c r="AL111" s="12">
        <f t="shared" si="6"/>
        <v>0</v>
      </c>
    </row>
    <row r="112" spans="1:42" ht="57" customHeight="1" x14ac:dyDescent="0.2">
      <c r="A112" s="19" t="s">
        <v>267</v>
      </c>
      <c r="B112" s="12"/>
      <c r="C112" s="21">
        <v>2210</v>
      </c>
      <c r="D112" s="12"/>
      <c r="E112" s="26"/>
      <c r="F112" s="12"/>
      <c r="G112" s="27"/>
      <c r="H112" s="9"/>
      <c r="I112" s="12"/>
      <c r="J112" s="12"/>
      <c r="K112" s="13"/>
      <c r="L112" s="13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20" t="s">
        <v>268</v>
      </c>
      <c r="AG112" s="12">
        <f>1000+600+800</f>
        <v>2400</v>
      </c>
      <c r="AH112" s="12"/>
      <c r="AI112" s="12"/>
      <c r="AJ112" s="22"/>
      <c r="AK112" s="25">
        <f>1000+1400</f>
        <v>2400</v>
      </c>
      <c r="AL112" s="12">
        <f t="shared" si="6"/>
        <v>0</v>
      </c>
    </row>
    <row r="113" spans="1:42" ht="63" customHeight="1" x14ac:dyDescent="0.2">
      <c r="A113" s="19" t="s">
        <v>269</v>
      </c>
      <c r="B113" s="12"/>
      <c r="C113" s="21">
        <v>2210</v>
      </c>
      <c r="D113" s="12"/>
      <c r="E113" s="26"/>
      <c r="F113" s="12"/>
      <c r="G113" s="27"/>
      <c r="H113" s="9"/>
      <c r="I113" s="12"/>
      <c r="J113" s="12"/>
      <c r="K113" s="13"/>
      <c r="L113" s="13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20" t="s">
        <v>270</v>
      </c>
      <c r="AG113" s="12">
        <f>2000+600+50+100</f>
        <v>2750</v>
      </c>
      <c r="AH113" s="12"/>
      <c r="AI113" s="12"/>
      <c r="AJ113" s="22"/>
      <c r="AK113" s="25">
        <f>2000+750</f>
        <v>2750</v>
      </c>
      <c r="AL113" s="12">
        <f t="shared" si="6"/>
        <v>0</v>
      </c>
      <c r="AO113" s="3">
        <f>4080.72+3171.1+2870.4+2286.92</f>
        <v>12409.14</v>
      </c>
    </row>
    <row r="114" spans="1:42" ht="63" customHeight="1" x14ac:dyDescent="0.2">
      <c r="A114" s="19" t="s">
        <v>271</v>
      </c>
      <c r="B114" s="12"/>
      <c r="C114" s="21">
        <v>2210</v>
      </c>
      <c r="D114" s="12"/>
      <c r="E114" s="26"/>
      <c r="F114" s="12"/>
      <c r="G114" s="27"/>
      <c r="H114" s="9"/>
      <c r="I114" s="12"/>
      <c r="J114" s="12"/>
      <c r="K114" s="13"/>
      <c r="L114" s="13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20" t="s">
        <v>272</v>
      </c>
      <c r="AG114" s="12">
        <f>50</f>
        <v>50</v>
      </c>
      <c r="AH114" s="12"/>
      <c r="AI114" s="12"/>
      <c r="AJ114" s="22"/>
      <c r="AK114" s="25">
        <v>50</v>
      </c>
      <c r="AL114" s="12">
        <f t="shared" si="6"/>
        <v>0</v>
      </c>
      <c r="AO114" s="3">
        <f>4080.72+3171.1+2870.4+2286.92</f>
        <v>12409.14</v>
      </c>
    </row>
    <row r="115" spans="1:42" ht="70.5" customHeight="1" x14ac:dyDescent="0.2">
      <c r="A115" s="19" t="s">
        <v>273</v>
      </c>
      <c r="B115" s="12"/>
      <c r="C115" s="21">
        <v>2210</v>
      </c>
      <c r="D115" s="12"/>
      <c r="E115" s="26"/>
      <c r="F115" s="12"/>
      <c r="G115" s="27"/>
      <c r="H115" s="9"/>
      <c r="I115" s="12"/>
      <c r="J115" s="12"/>
      <c r="K115" s="13"/>
      <c r="L115" s="13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21" t="s">
        <v>274</v>
      </c>
      <c r="AG115" s="12">
        <f>38+200+37.79+22.98+200+63.96+30+60+144</f>
        <v>796.73</v>
      </c>
      <c r="AH115" s="12"/>
      <c r="AI115" s="12"/>
      <c r="AJ115" s="29" t="s">
        <v>275</v>
      </c>
      <c r="AK115" s="12">
        <f>175.92+22.98+217.79+38+20</f>
        <v>474.68999999999994</v>
      </c>
      <c r="AL115" s="12">
        <f t="shared" si="6"/>
        <v>322.04000000000008</v>
      </c>
    </row>
    <row r="116" spans="1:42" ht="63" customHeight="1" x14ac:dyDescent="0.2">
      <c r="A116" s="19" t="s">
        <v>276</v>
      </c>
      <c r="B116" s="34" t="s">
        <v>277</v>
      </c>
      <c r="C116" s="21">
        <v>2210</v>
      </c>
      <c r="D116" s="12"/>
      <c r="E116" s="26"/>
      <c r="F116" s="12"/>
      <c r="G116" s="27"/>
      <c r="H116" s="12"/>
      <c r="I116" s="12"/>
      <c r="J116" s="12"/>
      <c r="K116" s="12"/>
      <c r="L116" s="13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>
        <v>3839</v>
      </c>
      <c r="X116" s="12"/>
      <c r="Y116" s="12"/>
      <c r="Z116" s="12"/>
      <c r="AA116" s="12"/>
      <c r="AB116" s="12">
        <v>5000</v>
      </c>
      <c r="AC116" s="12"/>
      <c r="AD116" s="12"/>
      <c r="AE116" s="12"/>
      <c r="AF116" s="21" t="s">
        <v>278</v>
      </c>
      <c r="AG116" s="12">
        <f>6500-5000.1-1499.9</f>
        <v>0</v>
      </c>
      <c r="AH116" s="12"/>
      <c r="AI116" s="12"/>
      <c r="AJ116" s="22"/>
      <c r="AL116" s="12">
        <f t="shared" si="6"/>
        <v>0</v>
      </c>
    </row>
    <row r="117" spans="1:42" s="23" customFormat="1" ht="81" customHeight="1" x14ac:dyDescent="0.2">
      <c r="A117" s="19" t="s">
        <v>279</v>
      </c>
      <c r="B117" s="20" t="s">
        <v>91</v>
      </c>
      <c r="C117" s="21">
        <v>2210</v>
      </c>
      <c r="D117" s="21">
        <v>2210</v>
      </c>
      <c r="E117" s="21">
        <v>3000</v>
      </c>
      <c r="F117" s="21" t="s">
        <v>92</v>
      </c>
      <c r="G117" s="21">
        <f>E117+F117</f>
        <v>6000</v>
      </c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 t="s">
        <v>280</v>
      </c>
      <c r="AG117" s="12">
        <f>4500-135.41</f>
        <v>4364.59</v>
      </c>
      <c r="AH117" s="12"/>
      <c r="AI117" s="12"/>
      <c r="AJ117" s="22"/>
      <c r="AK117" s="12">
        <v>4364.59</v>
      </c>
      <c r="AL117" s="12">
        <f t="shared" si="6"/>
        <v>0</v>
      </c>
      <c r="AM117" s="3"/>
      <c r="AN117" s="3"/>
      <c r="AO117" s="3">
        <f>13150-AO113</f>
        <v>740.86000000000058</v>
      </c>
      <c r="AP117" s="3"/>
    </row>
    <row r="118" spans="1:42" s="23" customFormat="1" ht="120.75" customHeight="1" x14ac:dyDescent="0.2">
      <c r="A118" s="19" t="s">
        <v>281</v>
      </c>
      <c r="B118" s="20" t="s">
        <v>91</v>
      </c>
      <c r="C118" s="21">
        <v>2210</v>
      </c>
      <c r="D118" s="21">
        <v>2210</v>
      </c>
      <c r="E118" s="21">
        <v>3000</v>
      </c>
      <c r="F118" s="21" t="s">
        <v>92</v>
      </c>
      <c r="G118" s="21">
        <f>E118+F118</f>
        <v>6000</v>
      </c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 t="s">
        <v>282</v>
      </c>
      <c r="AG118" s="12">
        <v>500</v>
      </c>
      <c r="AH118" s="12"/>
      <c r="AI118" s="12"/>
      <c r="AJ118" s="22"/>
      <c r="AK118" s="12">
        <v>500</v>
      </c>
      <c r="AL118" s="12">
        <f t="shared" si="6"/>
        <v>0</v>
      </c>
      <c r="AM118" s="3"/>
      <c r="AN118" s="3"/>
      <c r="AO118" s="3">
        <f>13150-AO114</f>
        <v>740.86000000000058</v>
      </c>
      <c r="AP118" s="3"/>
    </row>
    <row r="119" spans="1:42" ht="79.5" customHeight="1" x14ac:dyDescent="0.2">
      <c r="A119" s="35" t="s">
        <v>283</v>
      </c>
      <c r="B119" s="12"/>
      <c r="C119" s="21"/>
      <c r="D119" s="9">
        <f t="shared" ref="D119:AE119" si="7">SUM(D8:D68)</f>
        <v>89185.85</v>
      </c>
      <c r="E119" s="9">
        <f t="shared" si="7"/>
        <v>258200</v>
      </c>
      <c r="F119" s="9">
        <f t="shared" si="7"/>
        <v>336655.85</v>
      </c>
      <c r="G119" s="9">
        <f t="shared" si="7"/>
        <v>6000</v>
      </c>
      <c r="H119" s="9">
        <f t="shared" si="7"/>
        <v>0</v>
      </c>
      <c r="I119" s="9">
        <f t="shared" si="7"/>
        <v>2184</v>
      </c>
      <c r="J119" s="9">
        <f t="shared" si="7"/>
        <v>3520</v>
      </c>
      <c r="K119" s="9">
        <f t="shared" si="7"/>
        <v>-440</v>
      </c>
      <c r="L119" s="9">
        <f t="shared" si="7"/>
        <v>0</v>
      </c>
      <c r="M119" s="9">
        <f t="shared" si="7"/>
        <v>1542</v>
      </c>
      <c r="N119" s="9">
        <f t="shared" si="7"/>
        <v>1351.1999999999998</v>
      </c>
      <c r="O119" s="9">
        <f t="shared" si="7"/>
        <v>0</v>
      </c>
      <c r="P119" s="9">
        <f t="shared" si="7"/>
        <v>0</v>
      </c>
      <c r="Q119" s="9">
        <f t="shared" si="7"/>
        <v>0</v>
      </c>
      <c r="R119" s="9">
        <f t="shared" si="7"/>
        <v>19647.2</v>
      </c>
      <c r="S119" s="9">
        <f t="shared" si="7"/>
        <v>111360</v>
      </c>
      <c r="T119" s="9">
        <f t="shared" si="7"/>
        <v>9879.5600000000013</v>
      </c>
      <c r="U119" s="9">
        <f t="shared" si="7"/>
        <v>0</v>
      </c>
      <c r="V119" s="9">
        <f t="shared" si="7"/>
        <v>18468</v>
      </c>
      <c r="W119" s="9">
        <f t="shared" si="7"/>
        <v>0</v>
      </c>
      <c r="X119" s="9">
        <f t="shared" si="7"/>
        <v>37.85</v>
      </c>
      <c r="Y119" s="9">
        <f t="shared" si="7"/>
        <v>70400</v>
      </c>
      <c r="Z119" s="9">
        <f t="shared" si="7"/>
        <v>-22.340000000000032</v>
      </c>
      <c r="AA119" s="9">
        <f t="shared" si="7"/>
        <v>0</v>
      </c>
      <c r="AB119" s="9">
        <f t="shared" si="7"/>
        <v>0</v>
      </c>
      <c r="AC119" s="9">
        <f t="shared" si="7"/>
        <v>0</v>
      </c>
      <c r="AD119" s="9">
        <f t="shared" si="7"/>
        <v>0</v>
      </c>
      <c r="AE119" s="9">
        <f t="shared" si="7"/>
        <v>0</v>
      </c>
      <c r="AF119" s="9" t="s">
        <v>284</v>
      </c>
      <c r="AG119" s="12">
        <f>SUM(AG8:AG118)</f>
        <v>158853.56</v>
      </c>
      <c r="AH119" s="12"/>
      <c r="AI119" s="12"/>
      <c r="AJ119" s="22" t="s">
        <v>285</v>
      </c>
      <c r="AK119" s="12">
        <f>SUM(AK8:AK118)</f>
        <v>145487.59000000003</v>
      </c>
      <c r="AL119" s="12">
        <f t="shared" si="6"/>
        <v>13365.969999999972</v>
      </c>
      <c r="AM119" s="36">
        <f>12000+116505+27938.56</f>
        <v>156443.56</v>
      </c>
      <c r="AN119" s="36">
        <f>12000+27938.56</f>
        <v>39938.559999999998</v>
      </c>
    </row>
    <row r="120" spans="1:42" ht="78" customHeight="1" x14ac:dyDescent="0.2">
      <c r="A120" s="19" t="s">
        <v>286</v>
      </c>
      <c r="B120" s="21" t="s">
        <v>49</v>
      </c>
      <c r="C120" s="21">
        <v>2220</v>
      </c>
      <c r="D120" s="12">
        <f>3*7.95+14*8</f>
        <v>135.85</v>
      </c>
      <c r="E120" s="12"/>
      <c r="F120" s="12">
        <f t="shared" ref="F120" si="8">D120+E120</f>
        <v>135.85</v>
      </c>
      <c r="G120" s="7"/>
      <c r="H120" s="12"/>
      <c r="I120" s="12"/>
      <c r="J120" s="12"/>
      <c r="K120" s="13"/>
      <c r="L120" s="13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>
        <v>37.85</v>
      </c>
      <c r="Y120" s="12"/>
      <c r="Z120" s="12"/>
      <c r="AA120" s="12"/>
      <c r="AB120" s="12"/>
      <c r="AC120" s="12"/>
      <c r="AD120" s="12"/>
      <c r="AE120" s="12"/>
      <c r="AF120" s="12" t="s">
        <v>287</v>
      </c>
      <c r="AG120" s="12">
        <v>3115.84</v>
      </c>
      <c r="AH120" s="12"/>
      <c r="AI120" s="12"/>
      <c r="AJ120" s="22"/>
      <c r="AK120" s="4"/>
      <c r="AL120" s="12">
        <f t="shared" si="6"/>
        <v>3115.84</v>
      </c>
      <c r="AM120" s="4"/>
    </row>
    <row r="121" spans="1:42" ht="75" x14ac:dyDescent="0.2">
      <c r="A121" s="19" t="s">
        <v>288</v>
      </c>
      <c r="B121" s="21" t="s">
        <v>101</v>
      </c>
      <c r="C121" s="21">
        <v>2220</v>
      </c>
      <c r="D121" s="26"/>
      <c r="E121" s="12"/>
      <c r="F121" s="12">
        <f>D121+E121</f>
        <v>0</v>
      </c>
      <c r="G121" s="12"/>
      <c r="H121" s="9"/>
      <c r="I121" s="12"/>
      <c r="J121" s="12"/>
      <c r="K121" s="12"/>
      <c r="L121" s="14"/>
      <c r="M121" s="12">
        <v>1542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 t="s">
        <v>289</v>
      </c>
      <c r="AG121" s="12">
        <v>560</v>
      </c>
      <c r="AH121" s="28"/>
      <c r="AI121" s="28"/>
      <c r="AJ121" s="22"/>
      <c r="AK121" s="4"/>
      <c r="AL121" s="12">
        <f t="shared" si="6"/>
        <v>560</v>
      </c>
      <c r="AM121" s="24"/>
      <c r="AN121" s="24"/>
    </row>
    <row r="122" spans="1:42" ht="79.5" customHeight="1" x14ac:dyDescent="0.2">
      <c r="A122" s="19" t="s">
        <v>290</v>
      </c>
      <c r="B122" s="12" t="s">
        <v>104</v>
      </c>
      <c r="C122" s="21">
        <v>2220</v>
      </c>
      <c r="D122" s="12"/>
      <c r="E122" s="12">
        <v>10000</v>
      </c>
      <c r="F122" s="12">
        <f t="shared" ref="F122" si="9">D122+E122</f>
        <v>10000</v>
      </c>
      <c r="G122" s="13"/>
      <c r="H122" s="12"/>
      <c r="I122" s="12"/>
      <c r="J122" s="12"/>
      <c r="K122" s="13"/>
      <c r="L122" s="13"/>
      <c r="M122" s="12"/>
      <c r="N122" s="12"/>
      <c r="O122" s="12"/>
      <c r="P122" s="12"/>
      <c r="Q122" s="12"/>
      <c r="R122" s="12">
        <v>2341</v>
      </c>
      <c r="S122" s="12">
        <v>13920</v>
      </c>
      <c r="T122" s="12"/>
      <c r="U122" s="12"/>
      <c r="V122" s="12"/>
      <c r="W122" s="12"/>
      <c r="X122" s="12"/>
      <c r="Y122" s="12">
        <v>8800</v>
      </c>
      <c r="Z122" s="12"/>
      <c r="AA122" s="12"/>
      <c r="AB122" s="12"/>
      <c r="AC122" s="12"/>
      <c r="AD122" s="12"/>
      <c r="AE122" s="12"/>
      <c r="AF122" s="21" t="s">
        <v>192</v>
      </c>
      <c r="AG122" s="12">
        <v>1000</v>
      </c>
      <c r="AH122" s="12"/>
      <c r="AI122" s="12"/>
      <c r="AJ122" s="22"/>
      <c r="AK122" s="4"/>
      <c r="AL122" s="12">
        <f t="shared" si="6"/>
        <v>1000</v>
      </c>
      <c r="AM122" s="24"/>
      <c r="AN122" s="24"/>
    </row>
    <row r="123" spans="1:42" s="23" customFormat="1" ht="63" customHeight="1" x14ac:dyDescent="0.2">
      <c r="A123" s="19" t="s">
        <v>291</v>
      </c>
      <c r="B123" s="20" t="s">
        <v>292</v>
      </c>
      <c r="C123" s="21">
        <v>2220</v>
      </c>
      <c r="D123" s="21">
        <v>2220</v>
      </c>
      <c r="E123" s="12"/>
      <c r="F123" s="12"/>
      <c r="G123" s="12"/>
      <c r="H123" s="7"/>
      <c r="I123" s="12"/>
      <c r="J123" s="12"/>
      <c r="K123" s="12"/>
      <c r="L123" s="12"/>
      <c r="M123" s="14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 t="s">
        <v>282</v>
      </c>
      <c r="AG123" s="12">
        <v>500</v>
      </c>
      <c r="AH123" s="12"/>
      <c r="AI123" s="12"/>
      <c r="AJ123" s="22"/>
      <c r="AK123" s="4"/>
      <c r="AL123" s="12">
        <f t="shared" si="6"/>
        <v>500</v>
      </c>
      <c r="AM123" s="3"/>
      <c r="AN123" s="3"/>
      <c r="AO123" s="3"/>
      <c r="AP123" s="3"/>
    </row>
    <row r="124" spans="1:42" ht="56.25" customHeight="1" x14ac:dyDescent="0.2">
      <c r="A124" s="19" t="s">
        <v>293</v>
      </c>
      <c r="B124" s="21"/>
      <c r="C124" s="21">
        <v>2220</v>
      </c>
      <c r="D124" s="12"/>
      <c r="E124" s="12"/>
      <c r="F124" s="12"/>
      <c r="G124" s="7"/>
      <c r="H124" s="12"/>
      <c r="I124" s="12"/>
      <c r="J124" s="12"/>
      <c r="K124" s="13"/>
      <c r="L124" s="13"/>
      <c r="M124" s="12"/>
      <c r="N124" s="12"/>
      <c r="O124" s="26"/>
      <c r="P124" s="12"/>
      <c r="Q124" s="12"/>
      <c r="R124" s="26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 t="s">
        <v>294</v>
      </c>
      <c r="AG124" s="12">
        <f>166.92+3000</f>
        <v>3166.92</v>
      </c>
      <c r="AH124" s="12"/>
      <c r="AI124" s="12"/>
      <c r="AJ124" s="22"/>
      <c r="AK124" s="4"/>
      <c r="AL124" s="12">
        <f t="shared" si="6"/>
        <v>3166.92</v>
      </c>
      <c r="AM124" s="24"/>
    </row>
    <row r="125" spans="1:42" ht="60" x14ac:dyDescent="0.2">
      <c r="A125" s="19" t="s">
        <v>295</v>
      </c>
      <c r="B125" s="21" t="s">
        <v>296</v>
      </c>
      <c r="C125" s="21">
        <v>2220</v>
      </c>
      <c r="D125" s="12">
        <v>500</v>
      </c>
      <c r="E125" s="12"/>
      <c r="F125" s="12">
        <f>D125+E125</f>
        <v>500</v>
      </c>
      <c r="G125" s="7"/>
      <c r="H125" s="12"/>
      <c r="I125" s="12"/>
      <c r="J125" s="12"/>
      <c r="K125" s="12">
        <v>835</v>
      </c>
      <c r="L125" s="14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21" t="s">
        <v>297</v>
      </c>
      <c r="AG125" s="12">
        <f>1500+300</f>
        <v>1800</v>
      </c>
      <c r="AH125" s="21"/>
      <c r="AI125" s="21"/>
      <c r="AJ125" s="22"/>
      <c r="AK125" s="4" t="s">
        <v>298</v>
      </c>
      <c r="AL125" s="12" t="e">
        <f t="shared" si="6"/>
        <v>#VALUE!</v>
      </c>
      <c r="AM125" s="24"/>
    </row>
    <row r="126" spans="1:42" ht="60" x14ac:dyDescent="0.2">
      <c r="A126" s="19" t="s">
        <v>299</v>
      </c>
      <c r="B126" s="21"/>
      <c r="C126" s="21">
        <v>2220</v>
      </c>
      <c r="D126" s="12"/>
      <c r="E126" s="12"/>
      <c r="F126" s="12"/>
      <c r="G126" s="7"/>
      <c r="H126" s="12"/>
      <c r="I126" s="12"/>
      <c r="J126" s="12"/>
      <c r="K126" s="13"/>
      <c r="L126" s="13"/>
      <c r="M126" s="12"/>
      <c r="N126" s="12"/>
      <c r="O126" s="26"/>
      <c r="P126" s="12"/>
      <c r="Q126" s="12"/>
      <c r="R126" s="26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21" t="s">
        <v>300</v>
      </c>
      <c r="AG126" s="12">
        <v>3000</v>
      </c>
      <c r="AH126" s="12"/>
      <c r="AI126" s="12"/>
      <c r="AJ126" s="22"/>
      <c r="AK126" s="4" t="s">
        <v>301</v>
      </c>
      <c r="AL126" s="12" t="e">
        <f t="shared" si="6"/>
        <v>#VALUE!</v>
      </c>
      <c r="AM126" s="24"/>
    </row>
    <row r="127" spans="1:42" ht="95.25" customHeight="1" x14ac:dyDescent="0.2">
      <c r="A127" s="19" t="s">
        <v>302</v>
      </c>
      <c r="B127" s="21"/>
      <c r="C127" s="21">
        <v>2220</v>
      </c>
      <c r="D127" s="12"/>
      <c r="E127" s="12"/>
      <c r="F127" s="12"/>
      <c r="G127" s="7"/>
      <c r="H127" s="12"/>
      <c r="I127" s="12"/>
      <c r="J127" s="12"/>
      <c r="K127" s="13"/>
      <c r="L127" s="13"/>
      <c r="M127" s="12"/>
      <c r="N127" s="12"/>
      <c r="O127" s="26"/>
      <c r="P127" s="12"/>
      <c r="Q127" s="12"/>
      <c r="R127" s="26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21" t="s">
        <v>303</v>
      </c>
      <c r="AG127" s="12">
        <f>150000-10000-11500-12615.84-560+13150+4600+10+4795+13371</f>
        <v>151250.16</v>
      </c>
      <c r="AH127" s="12"/>
      <c r="AI127" s="12"/>
      <c r="AJ127" s="22"/>
      <c r="AK127" s="4" t="s">
        <v>301</v>
      </c>
      <c r="AL127" s="12" t="e">
        <f t="shared" si="6"/>
        <v>#VALUE!</v>
      </c>
      <c r="AM127" s="37">
        <f>AG127+AG128</f>
        <v>168320.16</v>
      </c>
    </row>
    <row r="128" spans="1:42" ht="60" x14ac:dyDescent="0.2">
      <c r="A128" s="19" t="s">
        <v>304</v>
      </c>
      <c r="B128" s="21"/>
      <c r="C128" s="21">
        <v>2220</v>
      </c>
      <c r="D128" s="12"/>
      <c r="E128" s="12"/>
      <c r="F128" s="12"/>
      <c r="G128" s="7"/>
      <c r="H128" s="12"/>
      <c r="I128" s="12"/>
      <c r="J128" s="12"/>
      <c r="K128" s="13"/>
      <c r="L128" s="13"/>
      <c r="M128" s="12"/>
      <c r="N128" s="12"/>
      <c r="O128" s="26"/>
      <c r="P128" s="12"/>
      <c r="Q128" s="12"/>
      <c r="R128" s="26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 t="s">
        <v>305</v>
      </c>
      <c r="AG128" s="12">
        <v>17070</v>
      </c>
      <c r="AH128" s="12"/>
      <c r="AI128" s="12"/>
      <c r="AJ128" s="22"/>
      <c r="AK128" s="4"/>
      <c r="AL128" s="12">
        <f t="shared" si="6"/>
        <v>17070</v>
      </c>
      <c r="AM128" s="24"/>
    </row>
    <row r="129" spans="1:39" ht="75" x14ac:dyDescent="0.2">
      <c r="A129" s="19" t="s">
        <v>306</v>
      </c>
      <c r="B129" s="21" t="s">
        <v>307</v>
      </c>
      <c r="C129" s="21">
        <v>2220</v>
      </c>
      <c r="D129" s="12">
        <v>24000</v>
      </c>
      <c r="E129" s="12"/>
      <c r="F129" s="12">
        <f>D129+E129</f>
        <v>24000</v>
      </c>
      <c r="G129" s="7"/>
      <c r="H129" s="12"/>
      <c r="I129" s="12"/>
      <c r="J129" s="12"/>
      <c r="K129" s="12"/>
      <c r="L129" s="14"/>
      <c r="M129" s="12"/>
      <c r="N129" s="12"/>
      <c r="O129" s="12"/>
      <c r="P129" s="12"/>
      <c r="Q129" s="12"/>
      <c r="R129" s="12"/>
      <c r="S129" s="12"/>
      <c r="T129" s="12">
        <v>-5254.85</v>
      </c>
      <c r="U129" s="12"/>
      <c r="V129" s="12"/>
      <c r="W129" s="12"/>
      <c r="X129" s="12"/>
      <c r="Y129" s="12"/>
      <c r="Z129" s="12">
        <f>-4985.89+995.1</f>
        <v>-3990.7900000000004</v>
      </c>
      <c r="AA129" s="12"/>
      <c r="AB129" s="12"/>
      <c r="AC129" s="12"/>
      <c r="AD129" s="12"/>
      <c r="AE129" s="12"/>
      <c r="AF129" s="21" t="s">
        <v>308</v>
      </c>
      <c r="AG129" s="12">
        <v>10000</v>
      </c>
      <c r="AH129" s="12"/>
      <c r="AI129" s="12"/>
      <c r="AJ129" s="22"/>
      <c r="AK129" s="4"/>
      <c r="AL129" s="12">
        <f t="shared" si="6"/>
        <v>10000</v>
      </c>
      <c r="AM129" s="24"/>
    </row>
    <row r="130" spans="1:39" ht="60" x14ac:dyDescent="0.2">
      <c r="A130" s="19" t="s">
        <v>309</v>
      </c>
      <c r="B130" s="21" t="s">
        <v>310</v>
      </c>
      <c r="C130" s="21">
        <v>2220</v>
      </c>
      <c r="D130" s="12">
        <v>56000</v>
      </c>
      <c r="E130" s="12"/>
      <c r="F130" s="12">
        <f>D130+E130</f>
        <v>56000</v>
      </c>
      <c r="G130" s="7"/>
      <c r="H130" s="12"/>
      <c r="I130" s="12"/>
      <c r="J130" s="12"/>
      <c r="K130" s="12"/>
      <c r="L130" s="14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>
        <v>16867.810000000001</v>
      </c>
      <c r="AA130" s="12"/>
      <c r="AB130" s="12"/>
      <c r="AC130" s="12"/>
      <c r="AD130" s="12"/>
      <c r="AE130" s="12"/>
      <c r="AF130" s="21" t="s">
        <v>311</v>
      </c>
      <c r="AG130" s="12">
        <v>50000</v>
      </c>
      <c r="AH130" s="12"/>
      <c r="AI130" s="12"/>
      <c r="AJ130" s="22"/>
      <c r="AK130" s="4" t="s">
        <v>312</v>
      </c>
      <c r="AL130" s="12" t="e">
        <f t="shared" si="6"/>
        <v>#VALUE!</v>
      </c>
      <c r="AM130" s="24"/>
    </row>
    <row r="131" spans="1:39" ht="84" customHeight="1" x14ac:dyDescent="0.2">
      <c r="A131" s="19" t="s">
        <v>313</v>
      </c>
      <c r="B131" s="21" t="s">
        <v>307</v>
      </c>
      <c r="C131" s="21">
        <v>2220</v>
      </c>
      <c r="D131" s="12">
        <v>24000</v>
      </c>
      <c r="E131" s="12"/>
      <c r="F131" s="12">
        <f t="shared" ref="F131" si="10">D131+E131</f>
        <v>24000</v>
      </c>
      <c r="G131" s="7"/>
      <c r="H131" s="12"/>
      <c r="I131" s="12"/>
      <c r="J131" s="12"/>
      <c r="K131" s="12"/>
      <c r="L131" s="14"/>
      <c r="M131" s="12"/>
      <c r="N131" s="12"/>
      <c r="O131" s="12"/>
      <c r="P131" s="12"/>
      <c r="Q131" s="12"/>
      <c r="R131" s="12"/>
      <c r="S131" s="12"/>
      <c r="T131" s="12">
        <v>-5254.85</v>
      </c>
      <c r="U131" s="12"/>
      <c r="V131" s="12"/>
      <c r="W131" s="12"/>
      <c r="X131" s="12"/>
      <c r="Y131" s="12"/>
      <c r="Z131" s="12">
        <f>-4985.89+995.1</f>
        <v>-3990.7900000000004</v>
      </c>
      <c r="AA131" s="12"/>
      <c r="AB131" s="12"/>
      <c r="AC131" s="12"/>
      <c r="AD131" s="12"/>
      <c r="AE131" s="12"/>
      <c r="AF131" s="21" t="s">
        <v>314</v>
      </c>
      <c r="AG131" s="12">
        <f>10000+2000</f>
        <v>12000</v>
      </c>
      <c r="AH131" s="12"/>
      <c r="AI131" s="12"/>
      <c r="AJ131" s="22"/>
      <c r="AK131" s="4"/>
      <c r="AL131" s="12">
        <f t="shared" si="6"/>
        <v>12000</v>
      </c>
      <c r="AM131" s="24"/>
    </row>
    <row r="132" spans="1:39" ht="75" x14ac:dyDescent="0.2">
      <c r="A132" s="19" t="s">
        <v>315</v>
      </c>
      <c r="B132" s="21" t="s">
        <v>307</v>
      </c>
      <c r="C132" s="21">
        <v>2220</v>
      </c>
      <c r="D132" s="12">
        <v>24000</v>
      </c>
      <c r="E132" s="12"/>
      <c r="F132" s="12">
        <f>D132+E132</f>
        <v>24000</v>
      </c>
      <c r="G132" s="7"/>
      <c r="H132" s="12"/>
      <c r="I132" s="12"/>
      <c r="J132" s="12"/>
      <c r="K132" s="12"/>
      <c r="L132" s="14"/>
      <c r="M132" s="12"/>
      <c r="N132" s="12"/>
      <c r="O132" s="12"/>
      <c r="P132" s="12"/>
      <c r="Q132" s="12"/>
      <c r="R132" s="12"/>
      <c r="S132" s="12"/>
      <c r="T132" s="12">
        <v>-5254.85</v>
      </c>
      <c r="U132" s="12"/>
      <c r="V132" s="12"/>
      <c r="W132" s="12"/>
      <c r="X132" s="12"/>
      <c r="Y132" s="12"/>
      <c r="Z132" s="12">
        <f>-4985.89+995.1</f>
        <v>-3990.7900000000004</v>
      </c>
      <c r="AA132" s="12"/>
      <c r="AB132" s="12"/>
      <c r="AC132" s="12"/>
      <c r="AD132" s="12"/>
      <c r="AE132" s="12"/>
      <c r="AF132" s="21" t="s">
        <v>316</v>
      </c>
      <c r="AG132" s="12">
        <f>50000-20000</f>
        <v>30000</v>
      </c>
      <c r="AH132" s="12"/>
      <c r="AI132" s="12"/>
      <c r="AJ132" s="22"/>
      <c r="AK132" s="4"/>
      <c r="AL132" s="12">
        <f t="shared" si="6"/>
        <v>30000</v>
      </c>
      <c r="AM132" s="24"/>
    </row>
    <row r="133" spans="1:39" ht="86.25" customHeight="1" x14ac:dyDescent="0.2">
      <c r="A133" s="19" t="s">
        <v>317</v>
      </c>
      <c r="B133" s="21" t="s">
        <v>318</v>
      </c>
      <c r="C133" s="21">
        <v>2220</v>
      </c>
      <c r="D133" s="12">
        <v>40000</v>
      </c>
      <c r="E133" s="12"/>
      <c r="F133" s="12">
        <f>D133+E133</f>
        <v>40000</v>
      </c>
      <c r="G133" s="7"/>
      <c r="H133" s="12"/>
      <c r="I133" s="12"/>
      <c r="J133" s="12"/>
      <c r="K133" s="12"/>
      <c r="L133" s="14"/>
      <c r="M133" s="12"/>
      <c r="N133" s="12"/>
      <c r="O133" s="12"/>
      <c r="P133" s="12"/>
      <c r="Q133" s="12"/>
      <c r="R133" s="12"/>
      <c r="S133" s="12"/>
      <c r="T133" s="12">
        <v>72.069999999999993</v>
      </c>
      <c r="U133" s="12"/>
      <c r="V133" s="12"/>
      <c r="W133" s="12"/>
      <c r="X133" s="12"/>
      <c r="Y133" s="12"/>
      <c r="Z133" s="12">
        <v>2557.64</v>
      </c>
      <c r="AA133" s="12"/>
      <c r="AB133" s="12"/>
      <c r="AC133" s="12"/>
      <c r="AD133" s="12"/>
      <c r="AE133" s="12"/>
      <c r="AF133" s="21" t="s">
        <v>319</v>
      </c>
      <c r="AG133" s="12">
        <v>60000</v>
      </c>
      <c r="AH133" s="12"/>
      <c r="AI133" s="12"/>
      <c r="AJ133" s="22"/>
      <c r="AK133" s="4" t="s">
        <v>320</v>
      </c>
      <c r="AL133" s="12" t="e">
        <f t="shared" si="6"/>
        <v>#VALUE!</v>
      </c>
      <c r="AM133" s="24"/>
    </row>
    <row r="134" spans="1:39" ht="53.25" customHeight="1" x14ac:dyDescent="0.2">
      <c r="A134" s="19" t="s">
        <v>321</v>
      </c>
      <c r="B134" s="21" t="s">
        <v>322</v>
      </c>
      <c r="C134" s="21">
        <v>2220</v>
      </c>
      <c r="D134" s="12"/>
      <c r="E134" s="12"/>
      <c r="F134" s="12"/>
      <c r="G134" s="7"/>
      <c r="H134" s="12"/>
      <c r="I134" s="12"/>
      <c r="J134" s="12"/>
      <c r="K134" s="12"/>
      <c r="L134" s="14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21" t="s">
        <v>192</v>
      </c>
      <c r="AG134" s="12">
        <v>1000</v>
      </c>
      <c r="AH134" s="12"/>
      <c r="AI134" s="12"/>
      <c r="AJ134" s="22"/>
      <c r="AK134" s="4"/>
      <c r="AL134" s="12">
        <f t="shared" si="6"/>
        <v>1000</v>
      </c>
      <c r="AM134" s="24"/>
    </row>
    <row r="135" spans="1:39" ht="75" x14ac:dyDescent="0.2">
      <c r="A135" s="19" t="s">
        <v>323</v>
      </c>
      <c r="B135" s="21" t="s">
        <v>324</v>
      </c>
      <c r="C135" s="21">
        <v>2220</v>
      </c>
      <c r="D135" s="12">
        <v>3000</v>
      </c>
      <c r="E135" s="12"/>
      <c r="F135" s="12">
        <f>D135+E135</f>
        <v>3000</v>
      </c>
      <c r="G135" s="7"/>
      <c r="H135" s="12"/>
      <c r="I135" s="12"/>
      <c r="J135" s="12"/>
      <c r="K135" s="12">
        <v>5050</v>
      </c>
      <c r="L135" s="14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21" t="s">
        <v>325</v>
      </c>
      <c r="AG135" s="12">
        <f>34020+3780+6240+2160</f>
        <v>46200</v>
      </c>
      <c r="AH135" s="12"/>
      <c r="AI135" s="12"/>
      <c r="AJ135" s="22"/>
      <c r="AK135" s="4" t="s">
        <v>326</v>
      </c>
      <c r="AL135" s="12" t="e">
        <f t="shared" si="6"/>
        <v>#VALUE!</v>
      </c>
      <c r="AM135" s="24"/>
    </row>
    <row r="136" spans="1:39" ht="120" x14ac:dyDescent="0.2">
      <c r="A136" s="19" t="s">
        <v>327</v>
      </c>
      <c r="B136" s="21" t="s">
        <v>324</v>
      </c>
      <c r="C136" s="21">
        <v>2220</v>
      </c>
      <c r="D136" s="12">
        <v>3000</v>
      </c>
      <c r="E136" s="12"/>
      <c r="F136" s="12">
        <f>D136+E136</f>
        <v>3000</v>
      </c>
      <c r="G136" s="7"/>
      <c r="H136" s="12"/>
      <c r="I136" s="12"/>
      <c r="J136" s="12"/>
      <c r="K136" s="12">
        <v>5050</v>
      </c>
      <c r="L136" s="14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21" t="s">
        <v>328</v>
      </c>
      <c r="AG136" s="12">
        <f>22220+2500+6300-340</f>
        <v>30680</v>
      </c>
      <c r="AH136" s="21"/>
      <c r="AI136" s="21"/>
      <c r="AJ136" s="22"/>
      <c r="AK136" s="4" t="s">
        <v>329</v>
      </c>
      <c r="AL136" s="12" t="e">
        <f t="shared" si="6"/>
        <v>#VALUE!</v>
      </c>
      <c r="AM136" s="24"/>
    </row>
    <row r="137" spans="1:39" ht="90" x14ac:dyDescent="0.2">
      <c r="A137" s="19" t="s">
        <v>330</v>
      </c>
      <c r="B137" s="21" t="s">
        <v>331</v>
      </c>
      <c r="C137" s="21">
        <v>2220</v>
      </c>
      <c r="D137" s="12">
        <v>2000</v>
      </c>
      <c r="E137" s="12"/>
      <c r="F137" s="12">
        <f>D137+E137</f>
        <v>2000</v>
      </c>
      <c r="G137" s="7"/>
      <c r="H137" s="12"/>
      <c r="I137" s="12"/>
      <c r="J137" s="12"/>
      <c r="K137" s="12">
        <v>20688.7</v>
      </c>
      <c r="L137" s="14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>
        <v>6831</v>
      </c>
      <c r="Y137" s="12"/>
      <c r="Z137" s="12"/>
      <c r="AA137" s="12"/>
      <c r="AB137" s="12"/>
      <c r="AC137" s="12"/>
      <c r="AD137" s="12"/>
      <c r="AE137" s="12"/>
      <c r="AF137" s="21" t="s">
        <v>332</v>
      </c>
      <c r="AG137" s="12">
        <v>2850</v>
      </c>
      <c r="AH137" s="12"/>
      <c r="AI137" s="12"/>
      <c r="AJ137" s="22"/>
      <c r="AK137" s="4" t="s">
        <v>333</v>
      </c>
      <c r="AL137" s="12" t="e">
        <f t="shared" si="6"/>
        <v>#VALUE!</v>
      </c>
      <c r="AM137" s="24"/>
    </row>
    <row r="138" spans="1:39" ht="75" x14ac:dyDescent="0.2">
      <c r="A138" s="19" t="s">
        <v>334</v>
      </c>
      <c r="B138" s="21" t="s">
        <v>335</v>
      </c>
      <c r="C138" s="21">
        <v>2220</v>
      </c>
      <c r="D138" s="12">
        <v>2000</v>
      </c>
      <c r="E138" s="12"/>
      <c r="F138" s="12">
        <f t="shared" ref="F138:F202" si="11">D138+E138</f>
        <v>2000</v>
      </c>
      <c r="G138" s="7"/>
      <c r="H138" s="12"/>
      <c r="I138" s="12"/>
      <c r="J138" s="12"/>
      <c r="K138" s="12"/>
      <c r="L138" s="14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>
        <v>6926</v>
      </c>
      <c r="AA138" s="12"/>
      <c r="AB138" s="12"/>
      <c r="AC138" s="12"/>
      <c r="AD138" s="12"/>
      <c r="AE138" s="12"/>
      <c r="AF138" s="21" t="s">
        <v>336</v>
      </c>
      <c r="AG138" s="12">
        <v>40000</v>
      </c>
      <c r="AH138" s="12"/>
      <c r="AI138" s="12"/>
      <c r="AJ138" s="22"/>
      <c r="AK138" s="4" t="s">
        <v>337</v>
      </c>
      <c r="AL138" s="12" t="e">
        <f t="shared" si="6"/>
        <v>#VALUE!</v>
      </c>
      <c r="AM138" s="24"/>
    </row>
    <row r="139" spans="1:39" ht="60" x14ac:dyDescent="0.2">
      <c r="A139" s="19" t="s">
        <v>338</v>
      </c>
      <c r="B139" s="21" t="s">
        <v>133</v>
      </c>
      <c r="C139" s="21">
        <v>2220</v>
      </c>
      <c r="D139" s="12">
        <v>60000</v>
      </c>
      <c r="E139" s="12"/>
      <c r="F139" s="12">
        <f t="shared" si="11"/>
        <v>60000</v>
      </c>
      <c r="G139" s="7"/>
      <c r="H139" s="12"/>
      <c r="I139" s="12"/>
      <c r="J139" s="12"/>
      <c r="K139" s="12"/>
      <c r="L139" s="12">
        <v>16000</v>
      </c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>
        <v>-28288.799999999999</v>
      </c>
      <c r="Y139" s="12"/>
      <c r="Z139" s="12">
        <f>-20542.04+3299.99</f>
        <v>-17242.050000000003</v>
      </c>
      <c r="AA139" s="12"/>
      <c r="AB139" s="12"/>
      <c r="AC139" s="12"/>
      <c r="AD139" s="12"/>
      <c r="AE139" s="12"/>
      <c r="AF139" s="21" t="s">
        <v>339</v>
      </c>
      <c r="AG139" s="12">
        <f>830+30</f>
        <v>860</v>
      </c>
      <c r="AH139" s="21"/>
      <c r="AI139" s="21"/>
      <c r="AJ139" s="22"/>
      <c r="AK139" s="4" t="s">
        <v>340</v>
      </c>
      <c r="AL139" s="12" t="e">
        <f t="shared" ref="AL139:AL202" si="12">AG139-AK139</f>
        <v>#VALUE!</v>
      </c>
      <c r="AM139" s="24"/>
    </row>
    <row r="140" spans="1:39" ht="60" x14ac:dyDescent="0.2">
      <c r="A140" s="19" t="s">
        <v>341</v>
      </c>
      <c r="B140" s="21" t="s">
        <v>133</v>
      </c>
      <c r="C140" s="21">
        <v>2220</v>
      </c>
      <c r="D140" s="12"/>
      <c r="E140" s="12"/>
      <c r="F140" s="12"/>
      <c r="G140" s="7"/>
      <c r="H140" s="12"/>
      <c r="I140" s="12"/>
      <c r="J140" s="12"/>
      <c r="K140" s="13"/>
      <c r="L140" s="13"/>
      <c r="M140" s="12"/>
      <c r="N140" s="12"/>
      <c r="O140" s="26"/>
      <c r="P140" s="12"/>
      <c r="Q140" s="12"/>
      <c r="R140" s="26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21" t="s">
        <v>342</v>
      </c>
      <c r="AG140" s="12">
        <v>15000</v>
      </c>
      <c r="AH140" s="12"/>
      <c r="AI140" s="12"/>
      <c r="AJ140" s="22"/>
      <c r="AK140" s="4" t="s">
        <v>343</v>
      </c>
      <c r="AL140" s="12" t="e">
        <f t="shared" si="12"/>
        <v>#VALUE!</v>
      </c>
      <c r="AM140" s="24"/>
    </row>
    <row r="141" spans="1:39" ht="60" x14ac:dyDescent="0.2">
      <c r="A141" s="19" t="s">
        <v>344</v>
      </c>
      <c r="B141" s="21"/>
      <c r="C141" s="21">
        <v>2220</v>
      </c>
      <c r="D141" s="12"/>
      <c r="E141" s="12"/>
      <c r="F141" s="12"/>
      <c r="G141" s="7"/>
      <c r="H141" s="12"/>
      <c r="I141" s="12"/>
      <c r="J141" s="12"/>
      <c r="K141" s="13"/>
      <c r="L141" s="13"/>
      <c r="M141" s="12"/>
      <c r="N141" s="12"/>
      <c r="O141" s="26"/>
      <c r="P141" s="12"/>
      <c r="Q141" s="12"/>
      <c r="R141" s="26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 t="s">
        <v>345</v>
      </c>
      <c r="AG141" s="12">
        <v>9312</v>
      </c>
      <c r="AH141" s="12"/>
      <c r="AI141" s="12"/>
      <c r="AJ141" s="22"/>
      <c r="AK141" s="4"/>
      <c r="AL141" s="12">
        <f t="shared" si="12"/>
        <v>9312</v>
      </c>
      <c r="AM141" s="24"/>
    </row>
    <row r="142" spans="1:39" ht="60" x14ac:dyDescent="0.2">
      <c r="A142" s="19" t="s">
        <v>346</v>
      </c>
      <c r="B142" s="21" t="s">
        <v>133</v>
      </c>
      <c r="C142" s="21">
        <v>2220</v>
      </c>
      <c r="D142" s="12"/>
      <c r="E142" s="12"/>
      <c r="F142" s="12"/>
      <c r="G142" s="7"/>
      <c r="H142" s="12"/>
      <c r="I142" s="12"/>
      <c r="J142" s="12"/>
      <c r="K142" s="13"/>
      <c r="L142" s="13"/>
      <c r="M142" s="12"/>
      <c r="N142" s="12"/>
      <c r="O142" s="26"/>
      <c r="P142" s="12"/>
      <c r="Q142" s="12"/>
      <c r="R142" s="26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21" t="s">
        <v>347</v>
      </c>
      <c r="AG142" s="12">
        <f>120000-9676.14</f>
        <v>110323.86</v>
      </c>
      <c r="AH142" s="12"/>
      <c r="AI142" s="12"/>
      <c r="AJ142" s="22"/>
      <c r="AK142" s="4" t="s">
        <v>348</v>
      </c>
      <c r="AL142" s="12" t="e">
        <f t="shared" si="12"/>
        <v>#VALUE!</v>
      </c>
      <c r="AM142" s="24"/>
    </row>
    <row r="143" spans="1:39" ht="60" x14ac:dyDescent="0.2">
      <c r="A143" s="19" t="s">
        <v>349</v>
      </c>
      <c r="B143" s="21" t="s">
        <v>133</v>
      </c>
      <c r="C143" s="21">
        <v>2220</v>
      </c>
      <c r="D143" s="12"/>
      <c r="E143" s="12"/>
      <c r="F143" s="12"/>
      <c r="G143" s="7"/>
      <c r="H143" s="12"/>
      <c r="I143" s="12"/>
      <c r="J143" s="12"/>
      <c r="K143" s="13"/>
      <c r="L143" s="13"/>
      <c r="M143" s="12"/>
      <c r="N143" s="12"/>
      <c r="O143" s="26"/>
      <c r="P143" s="12"/>
      <c r="Q143" s="12"/>
      <c r="R143" s="26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21" t="s">
        <v>350</v>
      </c>
      <c r="AG143" s="12">
        <f>50000-15000-1000</f>
        <v>34000</v>
      </c>
      <c r="AH143" s="12"/>
      <c r="AI143" s="12"/>
      <c r="AJ143" s="22"/>
      <c r="AK143" s="4" t="s">
        <v>343</v>
      </c>
      <c r="AL143" s="12" t="e">
        <f t="shared" si="12"/>
        <v>#VALUE!</v>
      </c>
      <c r="AM143" s="24"/>
    </row>
    <row r="144" spans="1:39" ht="60" x14ac:dyDescent="0.2">
      <c r="A144" s="19" t="s">
        <v>351</v>
      </c>
      <c r="B144" s="21" t="s">
        <v>133</v>
      </c>
      <c r="C144" s="21">
        <v>2220</v>
      </c>
      <c r="D144" s="12"/>
      <c r="E144" s="12"/>
      <c r="F144" s="12"/>
      <c r="G144" s="7"/>
      <c r="H144" s="12"/>
      <c r="I144" s="12"/>
      <c r="J144" s="12"/>
      <c r="K144" s="13"/>
      <c r="L144" s="13"/>
      <c r="M144" s="12"/>
      <c r="N144" s="12"/>
      <c r="O144" s="26"/>
      <c r="P144" s="12"/>
      <c r="Q144" s="12"/>
      <c r="R144" s="26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21" t="s">
        <v>192</v>
      </c>
      <c r="AG144" s="12">
        <v>1000</v>
      </c>
      <c r="AH144" s="12"/>
      <c r="AI144" s="12"/>
      <c r="AJ144" s="22"/>
      <c r="AK144" s="4" t="s">
        <v>348</v>
      </c>
      <c r="AL144" s="12" t="e">
        <f t="shared" si="12"/>
        <v>#VALUE!</v>
      </c>
      <c r="AM144" s="24"/>
    </row>
    <row r="145" spans="1:39" s="38" customFormat="1" ht="105" x14ac:dyDescent="0.25">
      <c r="A145" s="19" t="s">
        <v>352</v>
      </c>
      <c r="B145" s="21" t="s">
        <v>353</v>
      </c>
      <c r="C145" s="21">
        <v>2220</v>
      </c>
      <c r="D145" s="12">
        <v>92000</v>
      </c>
      <c r="E145" s="12"/>
      <c r="F145" s="12">
        <f t="shared" si="11"/>
        <v>92000</v>
      </c>
      <c r="G145" s="7"/>
      <c r="H145" s="12"/>
      <c r="I145" s="12"/>
      <c r="J145" s="12"/>
      <c r="K145" s="12"/>
      <c r="L145" s="14"/>
      <c r="M145" s="12"/>
      <c r="N145" s="12"/>
      <c r="O145" s="12"/>
      <c r="P145" s="12"/>
      <c r="Q145" s="12"/>
      <c r="R145" s="12"/>
      <c r="S145" s="30">
        <f t="shared" ref="S145:S152" si="13">714.23-714.23</f>
        <v>0</v>
      </c>
      <c r="T145" s="12">
        <v>7900.15</v>
      </c>
      <c r="U145" s="12"/>
      <c r="V145" s="12"/>
      <c r="W145" s="12"/>
      <c r="X145" s="12"/>
      <c r="Y145" s="12"/>
      <c r="Z145" s="12">
        <f t="shared" ref="Z145:Z152" si="14">-716.4-1.44+714.23</f>
        <v>-3.6100000000000136</v>
      </c>
      <c r="AA145" s="12"/>
      <c r="AB145" s="12"/>
      <c r="AC145" s="12"/>
      <c r="AD145" s="12"/>
      <c r="AE145" s="12"/>
      <c r="AF145" s="21" t="s">
        <v>354</v>
      </c>
      <c r="AG145" s="12">
        <v>2000</v>
      </c>
      <c r="AH145" s="12"/>
      <c r="AI145" s="12"/>
      <c r="AJ145" s="22"/>
      <c r="AK145" s="4"/>
      <c r="AL145" s="12">
        <f t="shared" si="12"/>
        <v>2000</v>
      </c>
      <c r="AM145" s="24"/>
    </row>
    <row r="146" spans="1:39" s="38" customFormat="1" ht="105" x14ac:dyDescent="0.25">
      <c r="A146" s="19" t="s">
        <v>355</v>
      </c>
      <c r="B146" s="21" t="s">
        <v>353</v>
      </c>
      <c r="C146" s="21">
        <v>2220</v>
      </c>
      <c r="D146" s="12">
        <v>92000</v>
      </c>
      <c r="E146" s="12"/>
      <c r="F146" s="12">
        <f t="shared" si="11"/>
        <v>92000</v>
      </c>
      <c r="G146" s="7"/>
      <c r="H146" s="12"/>
      <c r="I146" s="12"/>
      <c r="J146" s="12"/>
      <c r="K146" s="12"/>
      <c r="L146" s="14"/>
      <c r="M146" s="12"/>
      <c r="N146" s="12"/>
      <c r="O146" s="12"/>
      <c r="P146" s="12"/>
      <c r="Q146" s="12"/>
      <c r="R146" s="12"/>
      <c r="S146" s="30">
        <f t="shared" si="13"/>
        <v>0</v>
      </c>
      <c r="T146" s="12">
        <v>7900.15</v>
      </c>
      <c r="U146" s="12"/>
      <c r="V146" s="12"/>
      <c r="W146" s="12"/>
      <c r="X146" s="12"/>
      <c r="Y146" s="12"/>
      <c r="Z146" s="12">
        <f t="shared" si="14"/>
        <v>-3.6100000000000136</v>
      </c>
      <c r="AA146" s="12"/>
      <c r="AB146" s="12"/>
      <c r="AC146" s="12"/>
      <c r="AD146" s="12"/>
      <c r="AE146" s="12"/>
      <c r="AF146" s="21" t="s">
        <v>354</v>
      </c>
      <c r="AG146" s="12">
        <v>2000</v>
      </c>
      <c r="AH146" s="12"/>
      <c r="AI146" s="12"/>
      <c r="AJ146" s="22"/>
      <c r="AK146" s="4"/>
      <c r="AL146" s="12">
        <f t="shared" si="12"/>
        <v>2000</v>
      </c>
      <c r="AM146" s="24"/>
    </row>
    <row r="147" spans="1:39" s="38" customFormat="1" ht="112.5" customHeight="1" x14ac:dyDescent="0.25">
      <c r="A147" s="19" t="s">
        <v>356</v>
      </c>
      <c r="B147" s="21" t="s">
        <v>353</v>
      </c>
      <c r="C147" s="21">
        <v>2220</v>
      </c>
      <c r="D147" s="12">
        <v>92000</v>
      </c>
      <c r="E147" s="12"/>
      <c r="F147" s="12">
        <f t="shared" si="11"/>
        <v>92000</v>
      </c>
      <c r="G147" s="7"/>
      <c r="H147" s="12"/>
      <c r="I147" s="12"/>
      <c r="J147" s="12"/>
      <c r="K147" s="12"/>
      <c r="L147" s="14"/>
      <c r="M147" s="12"/>
      <c r="N147" s="12"/>
      <c r="O147" s="12"/>
      <c r="P147" s="12"/>
      <c r="Q147" s="12"/>
      <c r="R147" s="12"/>
      <c r="S147" s="30">
        <f t="shared" si="13"/>
        <v>0</v>
      </c>
      <c r="T147" s="12">
        <v>7900.15</v>
      </c>
      <c r="U147" s="12"/>
      <c r="V147" s="12"/>
      <c r="W147" s="12"/>
      <c r="X147" s="12"/>
      <c r="Y147" s="12"/>
      <c r="Z147" s="12">
        <f t="shared" si="14"/>
        <v>-3.6100000000000136</v>
      </c>
      <c r="AA147" s="12"/>
      <c r="AB147" s="12"/>
      <c r="AC147" s="12"/>
      <c r="AD147" s="12"/>
      <c r="AE147" s="12"/>
      <c r="AF147" s="21" t="s">
        <v>170</v>
      </c>
      <c r="AG147" s="12">
        <v>10000</v>
      </c>
      <c r="AH147" s="12"/>
      <c r="AI147" s="12"/>
      <c r="AJ147" s="22"/>
      <c r="AK147" s="4"/>
      <c r="AL147" s="12">
        <f t="shared" si="12"/>
        <v>10000</v>
      </c>
      <c r="AM147" s="24"/>
    </row>
    <row r="148" spans="1:39" s="38" customFormat="1" ht="105" x14ac:dyDescent="0.25">
      <c r="A148" s="19" t="s">
        <v>355</v>
      </c>
      <c r="B148" s="21" t="s">
        <v>353</v>
      </c>
      <c r="C148" s="21">
        <v>2220</v>
      </c>
      <c r="D148" s="12">
        <v>92000</v>
      </c>
      <c r="E148" s="12"/>
      <c r="F148" s="12">
        <f t="shared" si="11"/>
        <v>92000</v>
      </c>
      <c r="G148" s="7"/>
      <c r="H148" s="12"/>
      <c r="I148" s="12"/>
      <c r="J148" s="12"/>
      <c r="K148" s="12"/>
      <c r="L148" s="14"/>
      <c r="M148" s="12"/>
      <c r="N148" s="12"/>
      <c r="O148" s="12"/>
      <c r="P148" s="12"/>
      <c r="Q148" s="12"/>
      <c r="R148" s="12"/>
      <c r="S148" s="30">
        <f t="shared" si="13"/>
        <v>0</v>
      </c>
      <c r="T148" s="12">
        <v>7900.15</v>
      </c>
      <c r="U148" s="12"/>
      <c r="V148" s="12"/>
      <c r="W148" s="12"/>
      <c r="X148" s="12"/>
      <c r="Y148" s="12"/>
      <c r="Z148" s="12">
        <f t="shared" si="14"/>
        <v>-3.6100000000000136</v>
      </c>
      <c r="AA148" s="12"/>
      <c r="AB148" s="12"/>
      <c r="AC148" s="12"/>
      <c r="AD148" s="12"/>
      <c r="AE148" s="12"/>
      <c r="AF148" s="21" t="s">
        <v>278</v>
      </c>
      <c r="AG148" s="12">
        <f>2000-2000</f>
        <v>0</v>
      </c>
      <c r="AH148" s="12"/>
      <c r="AI148" s="12"/>
      <c r="AJ148" s="22"/>
      <c r="AK148" s="4"/>
      <c r="AL148" s="12">
        <f t="shared" si="12"/>
        <v>0</v>
      </c>
      <c r="AM148" s="24"/>
    </row>
    <row r="149" spans="1:39" s="38" customFormat="1" ht="105.75" customHeight="1" x14ac:dyDescent="0.25">
      <c r="A149" s="19" t="s">
        <v>357</v>
      </c>
      <c r="B149" s="21" t="s">
        <v>353</v>
      </c>
      <c r="C149" s="21">
        <v>2220</v>
      </c>
      <c r="D149" s="12">
        <v>92000</v>
      </c>
      <c r="E149" s="12"/>
      <c r="F149" s="12">
        <f t="shared" si="11"/>
        <v>92000</v>
      </c>
      <c r="G149" s="7"/>
      <c r="H149" s="12"/>
      <c r="I149" s="12"/>
      <c r="J149" s="12"/>
      <c r="K149" s="12"/>
      <c r="L149" s="14"/>
      <c r="M149" s="12"/>
      <c r="N149" s="12"/>
      <c r="O149" s="12"/>
      <c r="P149" s="12"/>
      <c r="Q149" s="12"/>
      <c r="R149" s="12"/>
      <c r="S149" s="30">
        <f t="shared" si="13"/>
        <v>0</v>
      </c>
      <c r="T149" s="12">
        <v>7900.15</v>
      </c>
      <c r="U149" s="12"/>
      <c r="V149" s="12"/>
      <c r="W149" s="12"/>
      <c r="X149" s="12"/>
      <c r="Y149" s="12"/>
      <c r="Z149" s="12">
        <f t="shared" si="14"/>
        <v>-3.6100000000000136</v>
      </c>
      <c r="AA149" s="12"/>
      <c r="AB149" s="12"/>
      <c r="AC149" s="12"/>
      <c r="AD149" s="12"/>
      <c r="AE149" s="12"/>
      <c r="AF149" s="21" t="s">
        <v>358</v>
      </c>
      <c r="AG149" s="12">
        <v>1500</v>
      </c>
      <c r="AH149" s="12"/>
      <c r="AI149" s="12"/>
      <c r="AJ149" s="22"/>
      <c r="AK149" s="4"/>
      <c r="AL149" s="12">
        <f t="shared" si="12"/>
        <v>1500</v>
      </c>
      <c r="AM149" s="24"/>
    </row>
    <row r="150" spans="1:39" s="38" customFormat="1" ht="100.5" customHeight="1" x14ac:dyDescent="0.25">
      <c r="A150" s="19" t="s">
        <v>359</v>
      </c>
      <c r="B150" s="21" t="s">
        <v>353</v>
      </c>
      <c r="C150" s="21">
        <v>2220</v>
      </c>
      <c r="D150" s="12">
        <v>92000</v>
      </c>
      <c r="E150" s="12"/>
      <c r="F150" s="12">
        <f t="shared" si="11"/>
        <v>92000</v>
      </c>
      <c r="G150" s="7"/>
      <c r="H150" s="12"/>
      <c r="I150" s="12"/>
      <c r="J150" s="12"/>
      <c r="K150" s="12"/>
      <c r="L150" s="14"/>
      <c r="M150" s="12"/>
      <c r="N150" s="12"/>
      <c r="O150" s="12"/>
      <c r="P150" s="12"/>
      <c r="Q150" s="12"/>
      <c r="R150" s="12"/>
      <c r="S150" s="30">
        <f t="shared" si="13"/>
        <v>0</v>
      </c>
      <c r="T150" s="12">
        <v>7900.15</v>
      </c>
      <c r="U150" s="12"/>
      <c r="V150" s="12"/>
      <c r="W150" s="12"/>
      <c r="X150" s="12"/>
      <c r="Y150" s="12"/>
      <c r="Z150" s="12">
        <f t="shared" si="14"/>
        <v>-3.6100000000000136</v>
      </c>
      <c r="AA150" s="12"/>
      <c r="AB150" s="12"/>
      <c r="AC150" s="12"/>
      <c r="AD150" s="12"/>
      <c r="AE150" s="12"/>
      <c r="AF150" s="21" t="s">
        <v>360</v>
      </c>
      <c r="AG150" s="12">
        <v>5000</v>
      </c>
      <c r="AH150" s="12"/>
      <c r="AI150" s="12"/>
      <c r="AJ150" s="22"/>
      <c r="AK150" s="4"/>
      <c r="AL150" s="12">
        <f t="shared" si="12"/>
        <v>5000</v>
      </c>
      <c r="AM150" s="24"/>
    </row>
    <row r="151" spans="1:39" s="38" customFormat="1" ht="105" x14ac:dyDescent="0.25">
      <c r="A151" s="19" t="s">
        <v>361</v>
      </c>
      <c r="B151" s="21" t="s">
        <v>353</v>
      </c>
      <c r="C151" s="21">
        <v>2220</v>
      </c>
      <c r="D151" s="12">
        <v>92000</v>
      </c>
      <c r="E151" s="12"/>
      <c r="F151" s="12">
        <f t="shared" si="11"/>
        <v>92000</v>
      </c>
      <c r="G151" s="7"/>
      <c r="H151" s="12"/>
      <c r="I151" s="12"/>
      <c r="J151" s="12"/>
      <c r="K151" s="12"/>
      <c r="L151" s="14"/>
      <c r="M151" s="12"/>
      <c r="N151" s="12"/>
      <c r="O151" s="12"/>
      <c r="P151" s="12"/>
      <c r="Q151" s="12"/>
      <c r="R151" s="12"/>
      <c r="S151" s="30">
        <f>714.23-714.23</f>
        <v>0</v>
      </c>
      <c r="T151" s="12">
        <v>7900.15</v>
      </c>
      <c r="U151" s="12"/>
      <c r="V151" s="12"/>
      <c r="W151" s="12"/>
      <c r="X151" s="12"/>
      <c r="Y151" s="12"/>
      <c r="Z151" s="12">
        <f>-716.4-1.44+714.23</f>
        <v>-3.6100000000000136</v>
      </c>
      <c r="AA151" s="12"/>
      <c r="AB151" s="12"/>
      <c r="AC151" s="12"/>
      <c r="AD151" s="12"/>
      <c r="AE151" s="12"/>
      <c r="AF151" s="21" t="s">
        <v>192</v>
      </c>
      <c r="AG151" s="12">
        <v>1000</v>
      </c>
      <c r="AH151" s="12"/>
      <c r="AI151" s="12"/>
      <c r="AJ151" s="22"/>
      <c r="AK151" s="4"/>
      <c r="AL151" s="12">
        <f t="shared" si="12"/>
        <v>1000</v>
      </c>
      <c r="AM151" s="24"/>
    </row>
    <row r="152" spans="1:39" s="38" customFormat="1" ht="90" x14ac:dyDescent="0.25">
      <c r="A152" s="19" t="s">
        <v>362</v>
      </c>
      <c r="B152" s="21" t="s">
        <v>353</v>
      </c>
      <c r="C152" s="21">
        <v>2220</v>
      </c>
      <c r="D152" s="12">
        <v>92000</v>
      </c>
      <c r="E152" s="12"/>
      <c r="F152" s="12">
        <f t="shared" si="11"/>
        <v>92000</v>
      </c>
      <c r="G152" s="7"/>
      <c r="H152" s="12"/>
      <c r="I152" s="12"/>
      <c r="J152" s="12"/>
      <c r="K152" s="12"/>
      <c r="L152" s="14"/>
      <c r="M152" s="12"/>
      <c r="N152" s="12"/>
      <c r="O152" s="12"/>
      <c r="P152" s="12"/>
      <c r="Q152" s="12"/>
      <c r="R152" s="12"/>
      <c r="S152" s="30">
        <f t="shared" si="13"/>
        <v>0</v>
      </c>
      <c r="T152" s="12">
        <v>7900.15</v>
      </c>
      <c r="U152" s="12"/>
      <c r="V152" s="12"/>
      <c r="W152" s="12"/>
      <c r="X152" s="12"/>
      <c r="Y152" s="12"/>
      <c r="Z152" s="12">
        <f t="shared" si="14"/>
        <v>-3.6100000000000136</v>
      </c>
      <c r="AA152" s="12"/>
      <c r="AB152" s="12"/>
      <c r="AC152" s="12"/>
      <c r="AD152" s="12"/>
      <c r="AE152" s="12"/>
      <c r="AF152" s="21" t="s">
        <v>192</v>
      </c>
      <c r="AG152" s="12">
        <v>1000</v>
      </c>
      <c r="AH152" s="12"/>
      <c r="AI152" s="12"/>
      <c r="AJ152" s="22"/>
      <c r="AK152" s="4"/>
      <c r="AL152" s="12">
        <f t="shared" si="12"/>
        <v>1000</v>
      </c>
      <c r="AM152" s="24"/>
    </row>
    <row r="153" spans="1:39" ht="128.25" customHeight="1" x14ac:dyDescent="0.2">
      <c r="A153" s="19" t="s">
        <v>363</v>
      </c>
      <c r="B153" s="21"/>
      <c r="C153" s="21">
        <v>2220</v>
      </c>
      <c r="D153" s="12"/>
      <c r="E153" s="12"/>
      <c r="F153" s="12"/>
      <c r="G153" s="7"/>
      <c r="H153" s="12"/>
      <c r="I153" s="12"/>
      <c r="J153" s="12"/>
      <c r="K153" s="13"/>
      <c r="L153" s="13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 t="s">
        <v>364</v>
      </c>
      <c r="AG153" s="12">
        <v>394.99</v>
      </c>
      <c r="AH153" s="12"/>
      <c r="AI153" s="12"/>
      <c r="AJ153" s="22"/>
      <c r="AK153" s="4"/>
      <c r="AL153" s="12">
        <f t="shared" si="12"/>
        <v>394.99</v>
      </c>
      <c r="AM153" s="24"/>
    </row>
    <row r="154" spans="1:39" ht="153" customHeight="1" x14ac:dyDescent="0.2">
      <c r="A154" s="19" t="s">
        <v>365</v>
      </c>
      <c r="B154" s="21" t="s">
        <v>366</v>
      </c>
      <c r="C154" s="21">
        <v>2220</v>
      </c>
      <c r="D154" s="12">
        <v>10200</v>
      </c>
      <c r="E154" s="12"/>
      <c r="F154" s="12">
        <f t="shared" si="11"/>
        <v>10200</v>
      </c>
      <c r="G154" s="7"/>
      <c r="H154" s="12"/>
      <c r="I154" s="12">
        <v>470</v>
      </c>
      <c r="J154" s="12"/>
      <c r="K154" s="12"/>
      <c r="L154" s="14"/>
      <c r="M154" s="12"/>
      <c r="N154" s="12"/>
      <c r="O154" s="12"/>
      <c r="P154" s="12"/>
      <c r="Q154" s="12"/>
      <c r="R154" s="26" t="s">
        <v>367</v>
      </c>
      <c r="S154" s="12"/>
      <c r="T154" s="12">
        <v>8665.98</v>
      </c>
      <c r="U154" s="12"/>
      <c r="V154" s="12"/>
      <c r="W154" s="12"/>
      <c r="X154" s="12"/>
      <c r="Y154" s="12"/>
      <c r="Z154" s="12">
        <f t="shared" ref="Z154:Z160" si="15">244.76-0.45</f>
        <v>244.31</v>
      </c>
      <c r="AA154" s="12"/>
      <c r="AB154" s="12"/>
      <c r="AC154" s="12"/>
      <c r="AD154" s="12"/>
      <c r="AE154" s="12"/>
      <c r="AF154" s="21" t="s">
        <v>360</v>
      </c>
      <c r="AG154" s="12">
        <v>5000</v>
      </c>
      <c r="AH154" s="12"/>
      <c r="AI154" s="12"/>
      <c r="AJ154" s="22"/>
      <c r="AK154" s="4"/>
      <c r="AL154" s="12">
        <f t="shared" si="12"/>
        <v>5000</v>
      </c>
      <c r="AM154" s="24"/>
    </row>
    <row r="155" spans="1:39" ht="156" customHeight="1" x14ac:dyDescent="0.2">
      <c r="A155" s="19" t="s">
        <v>368</v>
      </c>
      <c r="B155" s="21" t="s">
        <v>366</v>
      </c>
      <c r="C155" s="21">
        <v>2220</v>
      </c>
      <c r="D155" s="12">
        <v>10200</v>
      </c>
      <c r="E155" s="12"/>
      <c r="F155" s="12">
        <f>D155+E155</f>
        <v>10200</v>
      </c>
      <c r="G155" s="7"/>
      <c r="H155" s="12"/>
      <c r="I155" s="12">
        <v>470</v>
      </c>
      <c r="J155" s="12"/>
      <c r="K155" s="12"/>
      <c r="L155" s="14"/>
      <c r="M155" s="12"/>
      <c r="N155" s="12"/>
      <c r="O155" s="12"/>
      <c r="P155" s="12"/>
      <c r="Q155" s="12"/>
      <c r="R155" s="26" t="s">
        <v>367</v>
      </c>
      <c r="S155" s="12"/>
      <c r="T155" s="12">
        <v>8665.98</v>
      </c>
      <c r="U155" s="12"/>
      <c r="V155" s="12"/>
      <c r="W155" s="12"/>
      <c r="X155" s="12"/>
      <c r="Y155" s="12"/>
      <c r="Z155" s="12">
        <f t="shared" si="15"/>
        <v>244.31</v>
      </c>
      <c r="AA155" s="12"/>
      <c r="AB155" s="12"/>
      <c r="AC155" s="12"/>
      <c r="AD155" s="12"/>
      <c r="AE155" s="12"/>
      <c r="AF155" s="21" t="s">
        <v>369</v>
      </c>
      <c r="AG155" s="12">
        <v>3000</v>
      </c>
      <c r="AH155" s="12"/>
      <c r="AI155" s="12"/>
      <c r="AJ155" s="22"/>
      <c r="AK155" s="4"/>
      <c r="AL155" s="12">
        <f t="shared" si="12"/>
        <v>3000</v>
      </c>
      <c r="AM155" s="24"/>
    </row>
    <row r="156" spans="1:39" ht="141.75" customHeight="1" x14ac:dyDescent="0.2">
      <c r="A156" s="19" t="s">
        <v>370</v>
      </c>
      <c r="B156" s="21" t="s">
        <v>366</v>
      </c>
      <c r="C156" s="21">
        <v>2220</v>
      </c>
      <c r="D156" s="12">
        <v>10200</v>
      </c>
      <c r="E156" s="12"/>
      <c r="F156" s="12">
        <f t="shared" ref="F156" si="16">D156+E156</f>
        <v>10200</v>
      </c>
      <c r="G156" s="7"/>
      <c r="H156" s="12"/>
      <c r="I156" s="12">
        <v>470</v>
      </c>
      <c r="J156" s="12"/>
      <c r="K156" s="12"/>
      <c r="L156" s="14"/>
      <c r="M156" s="12"/>
      <c r="N156" s="12"/>
      <c r="O156" s="12"/>
      <c r="P156" s="12"/>
      <c r="Q156" s="12"/>
      <c r="R156" s="26" t="s">
        <v>367</v>
      </c>
      <c r="S156" s="12"/>
      <c r="T156" s="12">
        <v>8665.98</v>
      </c>
      <c r="U156" s="12"/>
      <c r="V156" s="12"/>
      <c r="W156" s="12"/>
      <c r="X156" s="12"/>
      <c r="Y156" s="12"/>
      <c r="Z156" s="12">
        <f t="shared" si="15"/>
        <v>244.31</v>
      </c>
      <c r="AA156" s="12"/>
      <c r="AB156" s="12"/>
      <c r="AC156" s="12"/>
      <c r="AD156" s="12"/>
      <c r="AE156" s="12"/>
      <c r="AF156" s="21" t="s">
        <v>354</v>
      </c>
      <c r="AG156" s="12">
        <v>2000</v>
      </c>
      <c r="AH156" s="12"/>
      <c r="AI156" s="12"/>
      <c r="AJ156" s="22"/>
      <c r="AK156" s="4"/>
      <c r="AL156" s="12">
        <f t="shared" si="12"/>
        <v>2000</v>
      </c>
      <c r="AM156" s="24"/>
    </row>
    <row r="157" spans="1:39" ht="153.75" customHeight="1" x14ac:dyDescent="0.2">
      <c r="A157" s="19" t="s">
        <v>371</v>
      </c>
      <c r="B157" s="21" t="s">
        <v>366</v>
      </c>
      <c r="C157" s="21">
        <v>2220</v>
      </c>
      <c r="D157" s="12">
        <v>10200</v>
      </c>
      <c r="E157" s="12"/>
      <c r="F157" s="12">
        <f>D157+E157</f>
        <v>10200</v>
      </c>
      <c r="G157" s="7"/>
      <c r="H157" s="12"/>
      <c r="I157" s="12">
        <v>470</v>
      </c>
      <c r="J157" s="12"/>
      <c r="K157" s="12"/>
      <c r="L157" s="14"/>
      <c r="M157" s="12"/>
      <c r="N157" s="12"/>
      <c r="O157" s="12"/>
      <c r="P157" s="12"/>
      <c r="Q157" s="12"/>
      <c r="R157" s="26" t="s">
        <v>367</v>
      </c>
      <c r="S157" s="12"/>
      <c r="T157" s="12">
        <v>8665.98</v>
      </c>
      <c r="U157" s="12"/>
      <c r="V157" s="12"/>
      <c r="W157" s="12"/>
      <c r="X157" s="12"/>
      <c r="Y157" s="12"/>
      <c r="Z157" s="12">
        <f t="shared" si="15"/>
        <v>244.31</v>
      </c>
      <c r="AA157" s="12"/>
      <c r="AB157" s="12"/>
      <c r="AC157" s="12"/>
      <c r="AD157" s="12"/>
      <c r="AE157" s="12"/>
      <c r="AF157" s="21" t="s">
        <v>372</v>
      </c>
      <c r="AG157" s="12">
        <v>2000</v>
      </c>
      <c r="AH157" s="12"/>
      <c r="AI157" s="12"/>
      <c r="AJ157" s="22"/>
      <c r="AK157" s="4"/>
      <c r="AL157" s="12">
        <f t="shared" si="12"/>
        <v>2000</v>
      </c>
      <c r="AM157" s="24"/>
    </row>
    <row r="158" spans="1:39" ht="151.5" customHeight="1" x14ac:dyDescent="0.2">
      <c r="A158" s="19" t="s">
        <v>373</v>
      </c>
      <c r="B158" s="21" t="s">
        <v>366</v>
      </c>
      <c r="C158" s="21">
        <v>2220</v>
      </c>
      <c r="D158" s="12">
        <v>10200</v>
      </c>
      <c r="E158" s="12"/>
      <c r="F158" s="12">
        <f t="shared" si="11"/>
        <v>10200</v>
      </c>
      <c r="G158" s="7"/>
      <c r="H158" s="12"/>
      <c r="I158" s="12">
        <v>470</v>
      </c>
      <c r="J158" s="12"/>
      <c r="K158" s="12"/>
      <c r="L158" s="14"/>
      <c r="M158" s="12"/>
      <c r="N158" s="12"/>
      <c r="O158" s="12"/>
      <c r="P158" s="12"/>
      <c r="Q158" s="12"/>
      <c r="R158" s="26" t="s">
        <v>367</v>
      </c>
      <c r="S158" s="12"/>
      <c r="T158" s="12">
        <v>8665.98</v>
      </c>
      <c r="U158" s="12"/>
      <c r="V158" s="12"/>
      <c r="W158" s="12"/>
      <c r="X158" s="12"/>
      <c r="Y158" s="12"/>
      <c r="Z158" s="12">
        <f>244.76-0.45</f>
        <v>244.31</v>
      </c>
      <c r="AA158" s="12"/>
      <c r="AB158" s="12"/>
      <c r="AC158" s="12"/>
      <c r="AD158" s="12"/>
      <c r="AE158" s="12"/>
      <c r="AF158" s="21" t="s">
        <v>360</v>
      </c>
      <c r="AG158" s="12">
        <v>5000</v>
      </c>
      <c r="AH158" s="12"/>
      <c r="AI158" s="12"/>
      <c r="AJ158" s="22"/>
      <c r="AK158" s="4"/>
      <c r="AL158" s="12">
        <f t="shared" si="12"/>
        <v>5000</v>
      </c>
      <c r="AM158" s="24"/>
    </row>
    <row r="159" spans="1:39" ht="142.5" customHeight="1" x14ac:dyDescent="0.2">
      <c r="A159" s="19" t="s">
        <v>374</v>
      </c>
      <c r="B159" s="21" t="s">
        <v>366</v>
      </c>
      <c r="C159" s="21">
        <v>2220</v>
      </c>
      <c r="D159" s="12">
        <v>10200</v>
      </c>
      <c r="E159" s="12"/>
      <c r="F159" s="12">
        <f t="shared" si="11"/>
        <v>10200</v>
      </c>
      <c r="G159" s="7"/>
      <c r="H159" s="12"/>
      <c r="I159" s="12">
        <v>470</v>
      </c>
      <c r="J159" s="12"/>
      <c r="K159" s="12"/>
      <c r="L159" s="14"/>
      <c r="M159" s="12"/>
      <c r="N159" s="12"/>
      <c r="O159" s="12"/>
      <c r="P159" s="12"/>
      <c r="Q159" s="12"/>
      <c r="R159" s="26" t="s">
        <v>367</v>
      </c>
      <c r="S159" s="12"/>
      <c r="T159" s="12">
        <v>8665.98</v>
      </c>
      <c r="U159" s="12"/>
      <c r="V159" s="12"/>
      <c r="W159" s="12"/>
      <c r="X159" s="12"/>
      <c r="Y159" s="12"/>
      <c r="Z159" s="12">
        <f t="shared" si="15"/>
        <v>244.31</v>
      </c>
      <c r="AA159" s="12"/>
      <c r="AB159" s="12"/>
      <c r="AC159" s="12"/>
      <c r="AD159" s="12"/>
      <c r="AE159" s="12"/>
      <c r="AF159" s="21" t="s">
        <v>192</v>
      </c>
      <c r="AG159" s="12">
        <f>1500-500</f>
        <v>1000</v>
      </c>
      <c r="AH159" s="12"/>
      <c r="AI159" s="12"/>
      <c r="AJ159" s="22"/>
      <c r="AK159" s="4"/>
      <c r="AL159" s="12">
        <f t="shared" si="12"/>
        <v>1000</v>
      </c>
      <c r="AM159" s="24"/>
    </row>
    <row r="160" spans="1:39" ht="136.5" customHeight="1" x14ac:dyDescent="0.2">
      <c r="A160" s="19" t="s">
        <v>375</v>
      </c>
      <c r="B160" s="21" t="s">
        <v>366</v>
      </c>
      <c r="C160" s="21">
        <v>2220</v>
      </c>
      <c r="D160" s="12">
        <v>10200</v>
      </c>
      <c r="E160" s="12"/>
      <c r="F160" s="12">
        <f t="shared" si="11"/>
        <v>10200</v>
      </c>
      <c r="G160" s="7"/>
      <c r="H160" s="12"/>
      <c r="I160" s="12">
        <v>470</v>
      </c>
      <c r="J160" s="12"/>
      <c r="K160" s="12"/>
      <c r="L160" s="14"/>
      <c r="M160" s="12"/>
      <c r="N160" s="12"/>
      <c r="O160" s="12"/>
      <c r="P160" s="12"/>
      <c r="Q160" s="12"/>
      <c r="R160" s="26" t="s">
        <v>367</v>
      </c>
      <c r="S160" s="12"/>
      <c r="T160" s="12">
        <v>8665.98</v>
      </c>
      <c r="U160" s="12"/>
      <c r="V160" s="12"/>
      <c r="W160" s="12"/>
      <c r="X160" s="12"/>
      <c r="Y160" s="12"/>
      <c r="Z160" s="12">
        <f t="shared" si="15"/>
        <v>244.31</v>
      </c>
      <c r="AA160" s="12"/>
      <c r="AB160" s="12"/>
      <c r="AC160" s="12"/>
      <c r="AD160" s="12"/>
      <c r="AE160" s="12"/>
      <c r="AF160" s="21" t="s">
        <v>376</v>
      </c>
      <c r="AG160" s="12">
        <v>500</v>
      </c>
      <c r="AH160" s="12"/>
      <c r="AI160" s="12"/>
      <c r="AJ160" s="22"/>
      <c r="AK160" s="4"/>
      <c r="AL160" s="12">
        <f t="shared" si="12"/>
        <v>500</v>
      </c>
      <c r="AM160" s="24"/>
    </row>
    <row r="161" spans="1:39" ht="87.75" customHeight="1" x14ac:dyDescent="0.2">
      <c r="A161" s="19" t="s">
        <v>377</v>
      </c>
      <c r="B161" s="21" t="s">
        <v>378</v>
      </c>
      <c r="C161" s="21">
        <v>2220</v>
      </c>
      <c r="D161" s="12">
        <v>1500</v>
      </c>
      <c r="E161" s="12"/>
      <c r="F161" s="12">
        <f t="shared" si="11"/>
        <v>1500</v>
      </c>
      <c r="G161" s="7"/>
      <c r="H161" s="12"/>
      <c r="I161" s="12">
        <v>2376</v>
      </c>
      <c r="J161" s="12"/>
      <c r="K161" s="12"/>
      <c r="L161" s="14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>
        <f>-680.38-6.94</f>
        <v>-687.32</v>
      </c>
      <c r="AA161" s="12"/>
      <c r="AB161" s="12"/>
      <c r="AC161" s="12"/>
      <c r="AD161" s="12"/>
      <c r="AE161" s="12"/>
      <c r="AF161" s="21" t="s">
        <v>379</v>
      </c>
      <c r="AG161" s="12">
        <v>4000</v>
      </c>
      <c r="AH161" s="12"/>
      <c r="AI161" s="12"/>
      <c r="AJ161" s="22"/>
      <c r="AK161" s="4"/>
      <c r="AL161" s="12">
        <f t="shared" si="12"/>
        <v>4000</v>
      </c>
      <c r="AM161" s="24"/>
    </row>
    <row r="162" spans="1:39" ht="100.5" customHeight="1" x14ac:dyDescent="0.2">
      <c r="A162" s="19" t="s">
        <v>380</v>
      </c>
      <c r="B162" s="21" t="s">
        <v>381</v>
      </c>
      <c r="C162" s="21">
        <v>2220</v>
      </c>
      <c r="D162" s="12">
        <v>99800</v>
      </c>
      <c r="E162" s="26"/>
      <c r="F162" s="12">
        <f t="shared" si="11"/>
        <v>99800</v>
      </c>
      <c r="G162" s="7"/>
      <c r="H162" s="12"/>
      <c r="I162" s="12"/>
      <c r="J162" s="12"/>
      <c r="K162" s="12"/>
      <c r="L162" s="12">
        <f t="shared" ref="L162:L171" si="17">-16000+6446.7</f>
        <v>-9553.2999999999993</v>
      </c>
      <c r="M162" s="12">
        <v>-1542</v>
      </c>
      <c r="N162" s="12">
        <v>-1474</v>
      </c>
      <c r="O162" s="12"/>
      <c r="P162" s="12"/>
      <c r="Q162" s="12"/>
      <c r="R162" s="26" t="s">
        <v>382</v>
      </c>
      <c r="S162" s="30">
        <v>1139.44</v>
      </c>
      <c r="T162" s="30">
        <v>3708.14</v>
      </c>
      <c r="U162" s="26"/>
      <c r="V162" s="26"/>
      <c r="W162" s="12"/>
      <c r="X162" s="12"/>
      <c r="Y162" s="12"/>
      <c r="Z162" s="12">
        <f t="shared" ref="Z162:Z171" si="18">-7460.92-3.93+1003.75+6456.7</f>
        <v>-4.4000000000005457</v>
      </c>
      <c r="AA162" s="12"/>
      <c r="AB162" s="12"/>
      <c r="AC162" s="12"/>
      <c r="AD162" s="12"/>
      <c r="AE162" s="12"/>
      <c r="AF162" s="21" t="s">
        <v>170</v>
      </c>
      <c r="AG162" s="12">
        <v>10000</v>
      </c>
      <c r="AH162" s="12"/>
      <c r="AI162" s="12"/>
      <c r="AJ162" s="22"/>
      <c r="AK162" s="4"/>
      <c r="AL162" s="12">
        <f t="shared" si="12"/>
        <v>10000</v>
      </c>
      <c r="AM162" s="24"/>
    </row>
    <row r="163" spans="1:39" ht="90" x14ac:dyDescent="0.2">
      <c r="A163" s="19" t="s">
        <v>383</v>
      </c>
      <c r="B163" s="21" t="s">
        <v>381</v>
      </c>
      <c r="C163" s="21">
        <v>2220</v>
      </c>
      <c r="D163" s="12">
        <v>99800</v>
      </c>
      <c r="E163" s="26"/>
      <c r="F163" s="12">
        <f t="shared" si="11"/>
        <v>99800</v>
      </c>
      <c r="G163" s="7"/>
      <c r="H163" s="12"/>
      <c r="I163" s="12"/>
      <c r="J163" s="12"/>
      <c r="K163" s="12"/>
      <c r="L163" s="12">
        <f t="shared" si="17"/>
        <v>-9553.2999999999993</v>
      </c>
      <c r="M163" s="12">
        <v>-1542</v>
      </c>
      <c r="N163" s="12">
        <v>-1474</v>
      </c>
      <c r="O163" s="12"/>
      <c r="P163" s="12"/>
      <c r="Q163" s="12"/>
      <c r="R163" s="26" t="s">
        <v>382</v>
      </c>
      <c r="S163" s="30">
        <v>1139.44</v>
      </c>
      <c r="T163" s="30">
        <v>3708.14</v>
      </c>
      <c r="U163" s="26"/>
      <c r="V163" s="26"/>
      <c r="W163" s="12"/>
      <c r="X163" s="12"/>
      <c r="Y163" s="12"/>
      <c r="Z163" s="12">
        <f t="shared" si="18"/>
        <v>-4.4000000000005457</v>
      </c>
      <c r="AA163" s="12"/>
      <c r="AB163" s="12"/>
      <c r="AC163" s="12"/>
      <c r="AD163" s="12"/>
      <c r="AE163" s="12"/>
      <c r="AF163" s="21" t="s">
        <v>369</v>
      </c>
      <c r="AG163" s="12">
        <v>3000</v>
      </c>
      <c r="AH163" s="12"/>
      <c r="AI163" s="12"/>
      <c r="AJ163" s="22"/>
      <c r="AK163" s="4"/>
      <c r="AL163" s="12">
        <f t="shared" si="12"/>
        <v>3000</v>
      </c>
      <c r="AM163" s="24"/>
    </row>
    <row r="164" spans="1:39" ht="90" x14ac:dyDescent="0.2">
      <c r="A164" s="19" t="s">
        <v>384</v>
      </c>
      <c r="B164" s="21" t="s">
        <v>381</v>
      </c>
      <c r="C164" s="21">
        <v>2220</v>
      </c>
      <c r="D164" s="12">
        <v>99800</v>
      </c>
      <c r="E164" s="26"/>
      <c r="F164" s="12">
        <f t="shared" si="11"/>
        <v>99800</v>
      </c>
      <c r="G164" s="7"/>
      <c r="H164" s="12"/>
      <c r="I164" s="12"/>
      <c r="J164" s="12"/>
      <c r="K164" s="12"/>
      <c r="L164" s="12">
        <f t="shared" si="17"/>
        <v>-9553.2999999999993</v>
      </c>
      <c r="M164" s="12">
        <v>-1542</v>
      </c>
      <c r="N164" s="12">
        <v>-1474</v>
      </c>
      <c r="O164" s="12"/>
      <c r="P164" s="12"/>
      <c r="Q164" s="12"/>
      <c r="R164" s="26" t="s">
        <v>382</v>
      </c>
      <c r="S164" s="30">
        <v>1139.44</v>
      </c>
      <c r="T164" s="30">
        <v>3708.14</v>
      </c>
      <c r="U164" s="26"/>
      <c r="V164" s="26"/>
      <c r="W164" s="12"/>
      <c r="X164" s="12"/>
      <c r="Y164" s="12"/>
      <c r="Z164" s="12">
        <f t="shared" si="18"/>
        <v>-4.4000000000005457</v>
      </c>
      <c r="AA164" s="12"/>
      <c r="AB164" s="12"/>
      <c r="AC164" s="12"/>
      <c r="AD164" s="12"/>
      <c r="AE164" s="12"/>
      <c r="AF164" s="21" t="s">
        <v>354</v>
      </c>
      <c r="AG164" s="12">
        <v>2000</v>
      </c>
      <c r="AH164" s="12"/>
      <c r="AI164" s="12"/>
      <c r="AJ164" s="22"/>
      <c r="AK164" s="4"/>
      <c r="AL164" s="12">
        <f t="shared" si="12"/>
        <v>2000</v>
      </c>
      <c r="AM164" s="24"/>
    </row>
    <row r="165" spans="1:39" ht="90" customHeight="1" x14ac:dyDescent="0.2">
      <c r="A165" s="19" t="s">
        <v>385</v>
      </c>
      <c r="B165" s="21" t="s">
        <v>381</v>
      </c>
      <c r="C165" s="21">
        <v>2220</v>
      </c>
      <c r="D165" s="12">
        <v>99800</v>
      </c>
      <c r="E165" s="26"/>
      <c r="F165" s="12">
        <f t="shared" si="11"/>
        <v>99800</v>
      </c>
      <c r="G165" s="7"/>
      <c r="H165" s="12"/>
      <c r="I165" s="12"/>
      <c r="J165" s="12"/>
      <c r="K165" s="12"/>
      <c r="L165" s="12">
        <f t="shared" si="17"/>
        <v>-9553.2999999999993</v>
      </c>
      <c r="M165" s="12">
        <v>-1542</v>
      </c>
      <c r="N165" s="12">
        <v>-1474</v>
      </c>
      <c r="O165" s="12"/>
      <c r="P165" s="12"/>
      <c r="Q165" s="12"/>
      <c r="R165" s="26" t="s">
        <v>382</v>
      </c>
      <c r="S165" s="30">
        <v>1139.44</v>
      </c>
      <c r="T165" s="30">
        <v>3708.14</v>
      </c>
      <c r="U165" s="26"/>
      <c r="V165" s="26"/>
      <c r="W165" s="12"/>
      <c r="X165" s="12"/>
      <c r="Y165" s="12"/>
      <c r="Z165" s="12">
        <f t="shared" si="18"/>
        <v>-4.4000000000005457</v>
      </c>
      <c r="AA165" s="12"/>
      <c r="AB165" s="12"/>
      <c r="AC165" s="12"/>
      <c r="AD165" s="12"/>
      <c r="AE165" s="12"/>
      <c r="AF165" s="21" t="s">
        <v>369</v>
      </c>
      <c r="AG165" s="12">
        <v>3000</v>
      </c>
      <c r="AH165" s="12"/>
      <c r="AI165" s="12"/>
      <c r="AJ165" s="22"/>
      <c r="AK165" s="4"/>
      <c r="AL165" s="12">
        <f t="shared" si="12"/>
        <v>3000</v>
      </c>
      <c r="AM165" s="24"/>
    </row>
    <row r="166" spans="1:39" ht="87.75" customHeight="1" x14ac:dyDescent="0.2">
      <c r="A166" s="19" t="s">
        <v>386</v>
      </c>
      <c r="B166" s="21" t="s">
        <v>381</v>
      </c>
      <c r="C166" s="21">
        <v>2220</v>
      </c>
      <c r="D166" s="12">
        <v>99800</v>
      </c>
      <c r="E166" s="26"/>
      <c r="F166" s="12">
        <f t="shared" si="11"/>
        <v>99800</v>
      </c>
      <c r="G166" s="7"/>
      <c r="H166" s="12"/>
      <c r="I166" s="12"/>
      <c r="J166" s="12"/>
      <c r="K166" s="12"/>
      <c r="L166" s="12">
        <f t="shared" si="17"/>
        <v>-9553.2999999999993</v>
      </c>
      <c r="M166" s="12">
        <v>-1542</v>
      </c>
      <c r="N166" s="12">
        <v>-1474</v>
      </c>
      <c r="O166" s="12"/>
      <c r="P166" s="12"/>
      <c r="Q166" s="12"/>
      <c r="R166" s="26" t="s">
        <v>382</v>
      </c>
      <c r="S166" s="30">
        <v>1139.44</v>
      </c>
      <c r="T166" s="30">
        <v>3708.14</v>
      </c>
      <c r="U166" s="26"/>
      <c r="V166" s="26"/>
      <c r="W166" s="12"/>
      <c r="X166" s="12"/>
      <c r="Y166" s="12"/>
      <c r="Z166" s="12">
        <f t="shared" si="18"/>
        <v>-4.4000000000005457</v>
      </c>
      <c r="AA166" s="12"/>
      <c r="AB166" s="12"/>
      <c r="AC166" s="12"/>
      <c r="AD166" s="12"/>
      <c r="AE166" s="12"/>
      <c r="AF166" s="21" t="s">
        <v>369</v>
      </c>
      <c r="AG166" s="12">
        <v>3000</v>
      </c>
      <c r="AH166" s="12"/>
      <c r="AI166" s="12"/>
      <c r="AJ166" s="22"/>
      <c r="AK166" s="4"/>
      <c r="AL166" s="12">
        <f t="shared" si="12"/>
        <v>3000</v>
      </c>
      <c r="AM166" s="24"/>
    </row>
    <row r="167" spans="1:39" ht="90" x14ac:dyDescent="0.2">
      <c r="A167" s="19" t="s">
        <v>387</v>
      </c>
      <c r="B167" s="21" t="s">
        <v>381</v>
      </c>
      <c r="C167" s="21">
        <v>2220</v>
      </c>
      <c r="D167" s="12">
        <v>99800</v>
      </c>
      <c r="E167" s="26"/>
      <c r="F167" s="12">
        <f t="shared" si="11"/>
        <v>99800</v>
      </c>
      <c r="G167" s="7"/>
      <c r="H167" s="12"/>
      <c r="I167" s="12"/>
      <c r="J167" s="12"/>
      <c r="K167" s="12"/>
      <c r="L167" s="12">
        <f t="shared" si="17"/>
        <v>-9553.2999999999993</v>
      </c>
      <c r="M167" s="12">
        <v>-1542</v>
      </c>
      <c r="N167" s="12">
        <v>-1474</v>
      </c>
      <c r="O167" s="12"/>
      <c r="P167" s="12"/>
      <c r="Q167" s="12"/>
      <c r="R167" s="26" t="s">
        <v>382</v>
      </c>
      <c r="S167" s="30">
        <v>1139.44</v>
      </c>
      <c r="T167" s="30">
        <v>3708.14</v>
      </c>
      <c r="U167" s="26"/>
      <c r="V167" s="26"/>
      <c r="W167" s="12"/>
      <c r="X167" s="12"/>
      <c r="Y167" s="12"/>
      <c r="Z167" s="12">
        <f t="shared" si="18"/>
        <v>-4.4000000000005457</v>
      </c>
      <c r="AA167" s="12"/>
      <c r="AB167" s="12"/>
      <c r="AC167" s="12"/>
      <c r="AD167" s="12"/>
      <c r="AE167" s="12"/>
      <c r="AF167" s="21" t="s">
        <v>388</v>
      </c>
      <c r="AG167" s="12">
        <f>10000-300-336-1000</f>
        <v>8364</v>
      </c>
      <c r="AH167" s="12"/>
      <c r="AI167" s="12"/>
      <c r="AJ167" s="22"/>
      <c r="AK167" s="4"/>
      <c r="AL167" s="12">
        <f t="shared" si="12"/>
        <v>8364</v>
      </c>
      <c r="AM167" s="24"/>
    </row>
    <row r="168" spans="1:39" ht="87" customHeight="1" x14ac:dyDescent="0.2">
      <c r="A168" s="19" t="s">
        <v>389</v>
      </c>
      <c r="B168" s="21" t="s">
        <v>381</v>
      </c>
      <c r="C168" s="21">
        <v>2220</v>
      </c>
      <c r="D168" s="12">
        <v>99800</v>
      </c>
      <c r="E168" s="26"/>
      <c r="F168" s="12">
        <f t="shared" si="11"/>
        <v>99800</v>
      </c>
      <c r="G168" s="7"/>
      <c r="H168" s="12"/>
      <c r="I168" s="12"/>
      <c r="J168" s="12"/>
      <c r="K168" s="12"/>
      <c r="L168" s="12">
        <f>-16000+6446.7</f>
        <v>-9553.2999999999993</v>
      </c>
      <c r="M168" s="12">
        <v>-1542</v>
      </c>
      <c r="N168" s="12">
        <v>-1474</v>
      </c>
      <c r="O168" s="12"/>
      <c r="P168" s="12"/>
      <c r="Q168" s="12"/>
      <c r="R168" s="26" t="s">
        <v>382</v>
      </c>
      <c r="S168" s="30">
        <v>1139.44</v>
      </c>
      <c r="T168" s="30">
        <v>3708.14</v>
      </c>
      <c r="U168" s="26"/>
      <c r="V168" s="26"/>
      <c r="W168" s="12"/>
      <c r="X168" s="12"/>
      <c r="Y168" s="12"/>
      <c r="Z168" s="12">
        <f>-7460.92-3.93+1003.75+6456.7</f>
        <v>-4.4000000000005457</v>
      </c>
      <c r="AA168" s="12"/>
      <c r="AB168" s="12"/>
      <c r="AC168" s="12"/>
      <c r="AD168" s="12"/>
      <c r="AE168" s="12"/>
      <c r="AF168" s="21" t="s">
        <v>390</v>
      </c>
      <c r="AG168" s="39">
        <f>15000-1710-2000</f>
        <v>11290</v>
      </c>
      <c r="AH168" s="39"/>
      <c r="AI168" s="39"/>
      <c r="AJ168" s="22"/>
      <c r="AK168" s="4"/>
      <c r="AL168" s="12">
        <f t="shared" si="12"/>
        <v>11290</v>
      </c>
      <c r="AM168" s="24"/>
    </row>
    <row r="169" spans="1:39" ht="90" customHeight="1" x14ac:dyDescent="0.2">
      <c r="A169" s="19" t="s">
        <v>391</v>
      </c>
      <c r="B169" s="21" t="s">
        <v>381</v>
      </c>
      <c r="C169" s="21">
        <v>2220</v>
      </c>
      <c r="D169" s="12">
        <v>99800</v>
      </c>
      <c r="E169" s="26"/>
      <c r="F169" s="12">
        <f>D169+E169</f>
        <v>99800</v>
      </c>
      <c r="G169" s="7"/>
      <c r="H169" s="12"/>
      <c r="I169" s="12"/>
      <c r="J169" s="12"/>
      <c r="K169" s="12"/>
      <c r="L169" s="12">
        <f t="shared" si="17"/>
        <v>-9553.2999999999993</v>
      </c>
      <c r="M169" s="12">
        <v>-1542</v>
      </c>
      <c r="N169" s="12">
        <v>-1474</v>
      </c>
      <c r="O169" s="12"/>
      <c r="P169" s="12"/>
      <c r="Q169" s="12"/>
      <c r="R169" s="26" t="s">
        <v>382</v>
      </c>
      <c r="S169" s="30">
        <v>1139.44</v>
      </c>
      <c r="T169" s="30">
        <v>3708.14</v>
      </c>
      <c r="U169" s="26"/>
      <c r="V169" s="26"/>
      <c r="W169" s="12"/>
      <c r="X169" s="12"/>
      <c r="Y169" s="12"/>
      <c r="Z169" s="12">
        <f t="shared" si="18"/>
        <v>-4.4000000000005457</v>
      </c>
      <c r="AA169" s="12"/>
      <c r="AB169" s="12"/>
      <c r="AC169" s="12"/>
      <c r="AD169" s="12"/>
      <c r="AE169" s="12"/>
      <c r="AF169" s="21" t="s">
        <v>392</v>
      </c>
      <c r="AG169" s="12">
        <v>6000</v>
      </c>
      <c r="AH169" s="12"/>
      <c r="AI169" s="12"/>
      <c r="AJ169" s="22"/>
      <c r="AK169" s="4"/>
      <c r="AL169" s="12">
        <f t="shared" si="12"/>
        <v>6000</v>
      </c>
      <c r="AM169" s="24"/>
    </row>
    <row r="170" spans="1:39" ht="90" x14ac:dyDescent="0.2">
      <c r="A170" s="19" t="s">
        <v>393</v>
      </c>
      <c r="B170" s="21" t="s">
        <v>381</v>
      </c>
      <c r="C170" s="21">
        <v>2220</v>
      </c>
      <c r="D170" s="12">
        <v>99800</v>
      </c>
      <c r="E170" s="26"/>
      <c r="F170" s="12">
        <f t="shared" ref="F170:F171" si="19">D170+E170</f>
        <v>99800</v>
      </c>
      <c r="G170" s="7"/>
      <c r="H170" s="12"/>
      <c r="I170" s="12"/>
      <c r="J170" s="12"/>
      <c r="K170" s="12"/>
      <c r="L170" s="12">
        <f t="shared" si="17"/>
        <v>-9553.2999999999993</v>
      </c>
      <c r="M170" s="12">
        <v>-1542</v>
      </c>
      <c r="N170" s="12">
        <v>-1474</v>
      </c>
      <c r="O170" s="12"/>
      <c r="P170" s="12"/>
      <c r="Q170" s="12"/>
      <c r="R170" s="26" t="s">
        <v>382</v>
      </c>
      <c r="S170" s="30">
        <v>1139.44</v>
      </c>
      <c r="T170" s="30">
        <v>3708.14</v>
      </c>
      <c r="U170" s="26"/>
      <c r="V170" s="26"/>
      <c r="W170" s="12"/>
      <c r="X170" s="12"/>
      <c r="Y170" s="12"/>
      <c r="Z170" s="12">
        <f t="shared" si="18"/>
        <v>-4.4000000000005457</v>
      </c>
      <c r="AA170" s="12"/>
      <c r="AB170" s="12"/>
      <c r="AC170" s="12"/>
      <c r="AD170" s="12"/>
      <c r="AE170" s="12"/>
      <c r="AF170" s="21" t="s">
        <v>360</v>
      </c>
      <c r="AG170" s="12">
        <v>5000</v>
      </c>
      <c r="AH170" s="12"/>
      <c r="AI170" s="12"/>
      <c r="AJ170" s="22"/>
      <c r="AK170" s="4"/>
      <c r="AL170" s="12">
        <f t="shared" si="12"/>
        <v>5000</v>
      </c>
      <c r="AM170" s="24"/>
    </row>
    <row r="171" spans="1:39" ht="88.5" customHeight="1" x14ac:dyDescent="0.2">
      <c r="A171" s="19" t="s">
        <v>394</v>
      </c>
      <c r="B171" s="21" t="s">
        <v>381</v>
      </c>
      <c r="C171" s="21">
        <v>2220</v>
      </c>
      <c r="D171" s="12">
        <v>99800</v>
      </c>
      <c r="E171" s="26"/>
      <c r="F171" s="12">
        <f t="shared" si="19"/>
        <v>99800</v>
      </c>
      <c r="G171" s="7"/>
      <c r="H171" s="12"/>
      <c r="I171" s="12"/>
      <c r="J171" s="12"/>
      <c r="K171" s="12"/>
      <c r="L171" s="12">
        <f t="shared" si="17"/>
        <v>-9553.2999999999993</v>
      </c>
      <c r="M171" s="12">
        <v>-1542</v>
      </c>
      <c r="N171" s="12">
        <v>-1474</v>
      </c>
      <c r="O171" s="12"/>
      <c r="P171" s="12"/>
      <c r="Q171" s="12"/>
      <c r="R171" s="26" t="s">
        <v>382</v>
      </c>
      <c r="S171" s="30">
        <v>1139.44</v>
      </c>
      <c r="T171" s="30">
        <v>3708.14</v>
      </c>
      <c r="U171" s="26"/>
      <c r="V171" s="26"/>
      <c r="W171" s="12"/>
      <c r="X171" s="12"/>
      <c r="Y171" s="12"/>
      <c r="Z171" s="12">
        <f t="shared" si="18"/>
        <v>-4.4000000000005457</v>
      </c>
      <c r="AA171" s="12"/>
      <c r="AB171" s="12"/>
      <c r="AC171" s="12"/>
      <c r="AD171" s="12"/>
      <c r="AE171" s="12"/>
      <c r="AF171" s="21" t="s">
        <v>192</v>
      </c>
      <c r="AG171" s="12">
        <v>1000</v>
      </c>
      <c r="AH171" s="12"/>
      <c r="AI171" s="12"/>
      <c r="AJ171" s="22"/>
      <c r="AK171" s="4"/>
      <c r="AL171" s="12">
        <f t="shared" si="12"/>
        <v>1000</v>
      </c>
      <c r="AM171" s="24"/>
    </row>
    <row r="172" spans="1:39" ht="105" x14ac:dyDescent="0.2">
      <c r="A172" s="19" t="s">
        <v>395</v>
      </c>
      <c r="B172" s="21" t="s">
        <v>396</v>
      </c>
      <c r="C172" s="21">
        <v>2220</v>
      </c>
      <c r="D172" s="12">
        <v>45000</v>
      </c>
      <c r="E172" s="12"/>
      <c r="F172" s="12">
        <f>D172+E172</f>
        <v>45000</v>
      </c>
      <c r="G172" s="7"/>
      <c r="H172" s="12"/>
      <c r="I172" s="12"/>
      <c r="J172" s="12"/>
      <c r="K172" s="12"/>
      <c r="L172" s="14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>
        <v>-10911.91</v>
      </c>
      <c r="AA172" s="12"/>
      <c r="AB172" s="12"/>
      <c r="AC172" s="12"/>
      <c r="AD172" s="12"/>
      <c r="AE172" s="12"/>
      <c r="AF172" s="21" t="s">
        <v>397</v>
      </c>
      <c r="AG172" s="12">
        <v>5000</v>
      </c>
      <c r="AH172" s="12"/>
      <c r="AI172" s="12"/>
      <c r="AJ172" s="22"/>
      <c r="AK172" s="4" t="s">
        <v>398</v>
      </c>
      <c r="AL172" s="12" t="e">
        <f t="shared" si="12"/>
        <v>#VALUE!</v>
      </c>
      <c r="AM172" s="24"/>
    </row>
    <row r="173" spans="1:39" ht="90" x14ac:dyDescent="0.2">
      <c r="A173" s="19" t="s">
        <v>399</v>
      </c>
      <c r="B173" s="21"/>
      <c r="C173" s="21">
        <v>2220</v>
      </c>
      <c r="D173" s="12"/>
      <c r="E173" s="12"/>
      <c r="F173" s="12"/>
      <c r="G173" s="7"/>
      <c r="H173" s="12"/>
      <c r="I173" s="12"/>
      <c r="J173" s="12"/>
      <c r="K173" s="13"/>
      <c r="L173" s="13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 t="s">
        <v>400</v>
      </c>
      <c r="AG173" s="12">
        <f>2452.44+2954.35</f>
        <v>5406.79</v>
      </c>
      <c r="AH173" s="12"/>
      <c r="AI173" s="12"/>
      <c r="AJ173" s="22"/>
      <c r="AK173" s="4"/>
      <c r="AL173" s="12">
        <f t="shared" si="12"/>
        <v>5406.79</v>
      </c>
    </row>
    <row r="174" spans="1:39" ht="98.25" customHeight="1" x14ac:dyDescent="0.2">
      <c r="A174" s="19" t="s">
        <v>401</v>
      </c>
      <c r="B174" s="21" t="s">
        <v>147</v>
      </c>
      <c r="C174" s="21">
        <v>2220</v>
      </c>
      <c r="D174" s="12">
        <v>36000</v>
      </c>
      <c r="E174" s="12"/>
      <c r="F174" s="12">
        <f t="shared" si="11"/>
        <v>36000</v>
      </c>
      <c r="G174" s="7"/>
      <c r="H174" s="9">
        <v>28293.200000000001</v>
      </c>
      <c r="I174" s="12"/>
      <c r="J174" s="12"/>
      <c r="K174" s="12"/>
      <c r="L174" s="14"/>
      <c r="M174" s="12"/>
      <c r="N174" s="26" t="s">
        <v>402</v>
      </c>
      <c r="O174" s="12"/>
      <c r="P174" s="12"/>
      <c r="Q174" s="26" t="s">
        <v>403</v>
      </c>
      <c r="R174" s="12"/>
      <c r="S174" s="12"/>
      <c r="T174" s="12">
        <v>4522.57</v>
      </c>
      <c r="U174" s="12"/>
      <c r="V174" s="12"/>
      <c r="W174" s="26" t="s">
        <v>404</v>
      </c>
      <c r="X174" s="12"/>
      <c r="Y174" s="12"/>
      <c r="Z174" s="12">
        <f>-53971.77+769.44-1007.44+53971.22</f>
        <v>-238.54999999999563</v>
      </c>
      <c r="AA174" s="12"/>
      <c r="AB174" s="12"/>
      <c r="AC174" s="12"/>
      <c r="AD174" s="12"/>
      <c r="AE174" s="12"/>
      <c r="AF174" s="21" t="s">
        <v>369</v>
      </c>
      <c r="AG174" s="12">
        <v>3000</v>
      </c>
      <c r="AH174" s="12"/>
      <c r="AI174" s="12"/>
      <c r="AJ174" s="22"/>
      <c r="AK174" s="4"/>
      <c r="AL174" s="12">
        <f t="shared" si="12"/>
        <v>3000</v>
      </c>
      <c r="AM174" s="24"/>
    </row>
    <row r="175" spans="1:39" ht="83.25" customHeight="1" x14ac:dyDescent="0.2">
      <c r="A175" s="19" t="s">
        <v>405</v>
      </c>
      <c r="B175" s="21" t="s">
        <v>147</v>
      </c>
      <c r="C175" s="21">
        <v>2220</v>
      </c>
      <c r="D175" s="12">
        <v>36000</v>
      </c>
      <c r="E175" s="12"/>
      <c r="F175" s="12">
        <f t="shared" si="11"/>
        <v>36000</v>
      </c>
      <c r="G175" s="7"/>
      <c r="H175" s="9">
        <v>28293.200000000001</v>
      </c>
      <c r="I175" s="12"/>
      <c r="J175" s="12"/>
      <c r="K175" s="12"/>
      <c r="L175" s="14"/>
      <c r="M175" s="12"/>
      <c r="N175" s="26" t="s">
        <v>402</v>
      </c>
      <c r="O175" s="12"/>
      <c r="P175" s="12"/>
      <c r="Q175" s="26" t="s">
        <v>403</v>
      </c>
      <c r="R175" s="12"/>
      <c r="S175" s="12"/>
      <c r="T175" s="12">
        <v>4522.57</v>
      </c>
      <c r="U175" s="12"/>
      <c r="V175" s="12"/>
      <c r="W175" s="26" t="s">
        <v>404</v>
      </c>
      <c r="X175" s="12"/>
      <c r="Y175" s="12"/>
      <c r="Z175" s="12">
        <f>-53971.77+769.44-1007.44+53971.22</f>
        <v>-238.54999999999563</v>
      </c>
      <c r="AA175" s="12"/>
      <c r="AB175" s="12"/>
      <c r="AC175" s="12"/>
      <c r="AD175" s="12"/>
      <c r="AE175" s="12"/>
      <c r="AF175" s="21" t="s">
        <v>406</v>
      </c>
      <c r="AG175" s="12">
        <f>30000+132701.1</f>
        <v>162701.1</v>
      </c>
      <c r="AH175" s="12"/>
      <c r="AI175" s="12"/>
      <c r="AJ175" s="22"/>
      <c r="AK175" s="4"/>
      <c r="AL175" s="12">
        <f t="shared" si="12"/>
        <v>162701.1</v>
      </c>
      <c r="AM175" s="24"/>
    </row>
    <row r="176" spans="1:39" ht="96" customHeight="1" x14ac:dyDescent="0.2">
      <c r="A176" s="19" t="s">
        <v>407</v>
      </c>
      <c r="B176" s="21" t="s">
        <v>147</v>
      </c>
      <c r="C176" s="21">
        <v>2220</v>
      </c>
      <c r="D176" s="12">
        <v>36000</v>
      </c>
      <c r="E176" s="12"/>
      <c r="F176" s="12">
        <f t="shared" si="11"/>
        <v>36000</v>
      </c>
      <c r="G176" s="7"/>
      <c r="H176" s="9">
        <v>28293.200000000001</v>
      </c>
      <c r="I176" s="12"/>
      <c r="J176" s="12"/>
      <c r="K176" s="12"/>
      <c r="L176" s="14"/>
      <c r="M176" s="12"/>
      <c r="N176" s="26" t="s">
        <v>402</v>
      </c>
      <c r="O176" s="12"/>
      <c r="P176" s="12"/>
      <c r="Q176" s="26" t="s">
        <v>403</v>
      </c>
      <c r="R176" s="12"/>
      <c r="S176" s="12"/>
      <c r="T176" s="12">
        <v>4522.57</v>
      </c>
      <c r="U176" s="12"/>
      <c r="V176" s="12"/>
      <c r="W176" s="26" t="s">
        <v>404</v>
      </c>
      <c r="X176" s="12"/>
      <c r="Y176" s="12"/>
      <c r="Z176" s="12">
        <f>-53971.77+769.44-1007.44+53971.22</f>
        <v>-238.54999999999563</v>
      </c>
      <c r="AA176" s="12"/>
      <c r="AB176" s="12"/>
      <c r="AC176" s="12"/>
      <c r="AD176" s="12"/>
      <c r="AE176" s="12"/>
      <c r="AF176" s="21" t="s">
        <v>369</v>
      </c>
      <c r="AG176" s="12">
        <v>3000</v>
      </c>
      <c r="AH176" s="12"/>
      <c r="AI176" s="12"/>
      <c r="AJ176" s="22"/>
      <c r="AK176" s="4"/>
      <c r="AL176" s="12">
        <f t="shared" si="12"/>
        <v>3000</v>
      </c>
      <c r="AM176" s="24"/>
    </row>
    <row r="177" spans="1:39" ht="90" x14ac:dyDescent="0.2">
      <c r="A177" s="19" t="s">
        <v>408</v>
      </c>
      <c r="B177" s="21" t="s">
        <v>133</v>
      </c>
      <c r="C177" s="21">
        <v>2220</v>
      </c>
      <c r="D177" s="12"/>
      <c r="E177" s="12"/>
      <c r="F177" s="12"/>
      <c r="G177" s="7"/>
      <c r="H177" s="12"/>
      <c r="I177" s="12"/>
      <c r="J177" s="12"/>
      <c r="K177" s="13"/>
      <c r="L177" s="13"/>
      <c r="M177" s="12"/>
      <c r="N177" s="12"/>
      <c r="O177" s="26"/>
      <c r="P177" s="12"/>
      <c r="Q177" s="12"/>
      <c r="R177" s="26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21" t="s">
        <v>369</v>
      </c>
      <c r="AG177" s="12">
        <v>3000</v>
      </c>
      <c r="AH177" s="12"/>
      <c r="AI177" s="12"/>
      <c r="AJ177" s="22"/>
      <c r="AK177" s="4" t="s">
        <v>348</v>
      </c>
      <c r="AL177" s="12" t="e">
        <f t="shared" si="12"/>
        <v>#VALUE!</v>
      </c>
      <c r="AM177" s="24"/>
    </row>
    <row r="178" spans="1:39" ht="89.25" customHeight="1" x14ac:dyDescent="0.2">
      <c r="A178" s="19" t="s">
        <v>409</v>
      </c>
      <c r="B178" s="21" t="s">
        <v>147</v>
      </c>
      <c r="C178" s="21">
        <v>2220</v>
      </c>
      <c r="D178" s="12">
        <v>36000</v>
      </c>
      <c r="E178" s="12"/>
      <c r="F178" s="12">
        <f t="shared" si="11"/>
        <v>36000</v>
      </c>
      <c r="G178" s="7"/>
      <c r="H178" s="9">
        <v>28293.200000000001</v>
      </c>
      <c r="I178" s="12"/>
      <c r="J178" s="12"/>
      <c r="K178" s="12"/>
      <c r="L178" s="14"/>
      <c r="M178" s="12"/>
      <c r="N178" s="26" t="s">
        <v>402</v>
      </c>
      <c r="O178" s="12"/>
      <c r="P178" s="12"/>
      <c r="Q178" s="26" t="s">
        <v>403</v>
      </c>
      <c r="R178" s="12"/>
      <c r="S178" s="12"/>
      <c r="T178" s="12">
        <v>4522.57</v>
      </c>
      <c r="U178" s="12"/>
      <c r="V178" s="12"/>
      <c r="W178" s="26" t="s">
        <v>404</v>
      </c>
      <c r="X178" s="12"/>
      <c r="Y178" s="12"/>
      <c r="Z178" s="12">
        <f>-53971.77+769.44-1007.44+53971.22</f>
        <v>-238.54999999999563</v>
      </c>
      <c r="AA178" s="12"/>
      <c r="AB178" s="12"/>
      <c r="AC178" s="12"/>
      <c r="AD178" s="12"/>
      <c r="AE178" s="12"/>
      <c r="AF178" s="21" t="s">
        <v>410</v>
      </c>
      <c r="AG178" s="12">
        <f>10000-3000</f>
        <v>7000</v>
      </c>
      <c r="AH178" s="12"/>
      <c r="AI178" s="12"/>
      <c r="AJ178" s="22"/>
      <c r="AK178" s="4"/>
      <c r="AL178" s="12">
        <f t="shared" si="12"/>
        <v>7000</v>
      </c>
      <c r="AM178" s="24"/>
    </row>
    <row r="179" spans="1:39" ht="75" x14ac:dyDescent="0.2">
      <c r="A179" s="19" t="s">
        <v>411</v>
      </c>
      <c r="B179" s="21" t="s">
        <v>412</v>
      </c>
      <c r="C179" s="21">
        <v>2220</v>
      </c>
      <c r="D179" s="12">
        <v>65000</v>
      </c>
      <c r="E179" s="12"/>
      <c r="F179" s="12">
        <f t="shared" si="11"/>
        <v>65000</v>
      </c>
      <c r="G179" s="7"/>
      <c r="H179" s="12"/>
      <c r="I179" s="12">
        <v>-2846</v>
      </c>
      <c r="J179" s="12"/>
      <c r="K179" s="12"/>
      <c r="L179" s="14"/>
      <c r="M179" s="12"/>
      <c r="N179" s="12"/>
      <c r="O179" s="12"/>
      <c r="P179" s="12"/>
      <c r="Q179" s="12"/>
      <c r="R179" s="26" t="s">
        <v>413</v>
      </c>
      <c r="S179" s="12"/>
      <c r="T179" s="12">
        <v>14516.65</v>
      </c>
      <c r="U179" s="12"/>
      <c r="V179" s="12"/>
      <c r="W179" s="12"/>
      <c r="X179" s="12"/>
      <c r="Y179" s="12"/>
      <c r="Z179" s="12">
        <f t="shared" ref="Z179:Z190" si="20">-0.33-10.23-642.02</f>
        <v>-652.57999999999993</v>
      </c>
      <c r="AA179" s="12"/>
      <c r="AB179" s="12"/>
      <c r="AC179" s="12"/>
      <c r="AD179" s="12"/>
      <c r="AE179" s="12"/>
      <c r="AF179" s="21" t="s">
        <v>414</v>
      </c>
      <c r="AG179" s="12">
        <v>7000</v>
      </c>
      <c r="AH179" s="12"/>
      <c r="AI179" s="12"/>
      <c r="AJ179" s="22"/>
      <c r="AK179" s="4"/>
      <c r="AL179" s="12">
        <f t="shared" si="12"/>
        <v>7000</v>
      </c>
      <c r="AM179" s="24"/>
    </row>
    <row r="180" spans="1:39" ht="54" customHeight="1" x14ac:dyDescent="0.2">
      <c r="A180" s="19" t="s">
        <v>415</v>
      </c>
      <c r="B180" s="21" t="s">
        <v>412</v>
      </c>
      <c r="C180" s="21">
        <v>2220</v>
      </c>
      <c r="D180" s="12">
        <v>65000</v>
      </c>
      <c r="E180" s="12"/>
      <c r="F180" s="12">
        <f>D180+E180</f>
        <v>65000</v>
      </c>
      <c r="G180" s="7"/>
      <c r="H180" s="12"/>
      <c r="I180" s="12">
        <v>-2846</v>
      </c>
      <c r="J180" s="12"/>
      <c r="K180" s="12"/>
      <c r="L180" s="14"/>
      <c r="M180" s="12"/>
      <c r="N180" s="12"/>
      <c r="O180" s="12"/>
      <c r="P180" s="12"/>
      <c r="Q180" s="12"/>
      <c r="R180" s="26" t="s">
        <v>413</v>
      </c>
      <c r="S180" s="12"/>
      <c r="T180" s="12">
        <v>14516.65</v>
      </c>
      <c r="U180" s="12"/>
      <c r="V180" s="12"/>
      <c r="W180" s="12"/>
      <c r="X180" s="12"/>
      <c r="Y180" s="12"/>
      <c r="Z180" s="12">
        <f t="shared" si="20"/>
        <v>-652.57999999999993</v>
      </c>
      <c r="AA180" s="12"/>
      <c r="AB180" s="12"/>
      <c r="AC180" s="12"/>
      <c r="AD180" s="12"/>
      <c r="AE180" s="12"/>
      <c r="AF180" s="21" t="s">
        <v>360</v>
      </c>
      <c r="AG180" s="12">
        <v>5000</v>
      </c>
      <c r="AH180" s="12"/>
      <c r="AI180" s="12"/>
      <c r="AJ180" s="22"/>
      <c r="AK180" s="4"/>
      <c r="AL180" s="12">
        <f t="shared" si="12"/>
        <v>5000</v>
      </c>
      <c r="AM180" s="24"/>
    </row>
    <row r="181" spans="1:39" ht="60" x14ac:dyDescent="0.2">
      <c r="A181" s="19" t="s">
        <v>416</v>
      </c>
      <c r="B181" s="21" t="s">
        <v>412</v>
      </c>
      <c r="C181" s="21">
        <v>2220</v>
      </c>
      <c r="D181" s="12">
        <v>65000</v>
      </c>
      <c r="E181" s="12"/>
      <c r="F181" s="12">
        <f t="shared" si="11"/>
        <v>65000</v>
      </c>
      <c r="G181" s="7"/>
      <c r="H181" s="12"/>
      <c r="I181" s="12">
        <v>-2846</v>
      </c>
      <c r="J181" s="12"/>
      <c r="K181" s="12"/>
      <c r="L181" s="14"/>
      <c r="M181" s="12"/>
      <c r="N181" s="12"/>
      <c r="O181" s="12"/>
      <c r="P181" s="12"/>
      <c r="Q181" s="12"/>
      <c r="R181" s="26" t="s">
        <v>413</v>
      </c>
      <c r="S181" s="12"/>
      <c r="T181" s="12">
        <v>14516.65</v>
      </c>
      <c r="U181" s="12"/>
      <c r="V181" s="12"/>
      <c r="W181" s="12"/>
      <c r="X181" s="12"/>
      <c r="Y181" s="12"/>
      <c r="Z181" s="12">
        <f t="shared" si="20"/>
        <v>-652.57999999999993</v>
      </c>
      <c r="AA181" s="12"/>
      <c r="AB181" s="12"/>
      <c r="AC181" s="12"/>
      <c r="AD181" s="12"/>
      <c r="AE181" s="12"/>
      <c r="AF181" s="21" t="s">
        <v>369</v>
      </c>
      <c r="AG181" s="12">
        <v>3000</v>
      </c>
      <c r="AH181" s="12"/>
      <c r="AI181" s="12"/>
      <c r="AJ181" s="22"/>
      <c r="AK181" s="4"/>
      <c r="AL181" s="12">
        <f t="shared" si="12"/>
        <v>3000</v>
      </c>
      <c r="AM181" s="24"/>
    </row>
    <row r="182" spans="1:39" ht="60" x14ac:dyDescent="0.2">
      <c r="A182" s="19" t="s">
        <v>417</v>
      </c>
      <c r="B182" s="21" t="s">
        <v>412</v>
      </c>
      <c r="C182" s="21">
        <v>2220</v>
      </c>
      <c r="D182" s="12">
        <v>65000</v>
      </c>
      <c r="E182" s="12"/>
      <c r="F182" s="12">
        <f t="shared" si="11"/>
        <v>65000</v>
      </c>
      <c r="G182" s="7"/>
      <c r="H182" s="12"/>
      <c r="I182" s="12">
        <v>-2846</v>
      </c>
      <c r="J182" s="12"/>
      <c r="K182" s="12"/>
      <c r="L182" s="14"/>
      <c r="M182" s="12"/>
      <c r="N182" s="12"/>
      <c r="O182" s="12"/>
      <c r="P182" s="12"/>
      <c r="Q182" s="12"/>
      <c r="R182" s="26" t="s">
        <v>413</v>
      </c>
      <c r="S182" s="12"/>
      <c r="T182" s="12">
        <v>14516.65</v>
      </c>
      <c r="U182" s="12"/>
      <c r="V182" s="12"/>
      <c r="W182" s="12"/>
      <c r="X182" s="12"/>
      <c r="Y182" s="12"/>
      <c r="Z182" s="12">
        <f t="shared" si="20"/>
        <v>-652.57999999999993</v>
      </c>
      <c r="AA182" s="12"/>
      <c r="AB182" s="12"/>
      <c r="AC182" s="12"/>
      <c r="AD182" s="12"/>
      <c r="AE182" s="12"/>
      <c r="AF182" s="21" t="s">
        <v>414</v>
      </c>
      <c r="AG182" s="12">
        <v>7000</v>
      </c>
      <c r="AH182" s="12"/>
      <c r="AI182" s="12"/>
      <c r="AJ182" s="22"/>
      <c r="AK182" s="4"/>
      <c r="AL182" s="12">
        <f t="shared" si="12"/>
        <v>7000</v>
      </c>
      <c r="AM182" s="24"/>
    </row>
    <row r="183" spans="1:39" ht="60" x14ac:dyDescent="0.2">
      <c r="A183" s="19" t="s">
        <v>418</v>
      </c>
      <c r="B183" s="21" t="s">
        <v>412</v>
      </c>
      <c r="C183" s="21">
        <v>2220</v>
      </c>
      <c r="D183" s="12">
        <v>65000</v>
      </c>
      <c r="E183" s="12"/>
      <c r="F183" s="12">
        <f>D183+E183</f>
        <v>65000</v>
      </c>
      <c r="G183" s="7"/>
      <c r="H183" s="12"/>
      <c r="I183" s="12">
        <v>-2846</v>
      </c>
      <c r="J183" s="12"/>
      <c r="K183" s="12"/>
      <c r="L183" s="14"/>
      <c r="M183" s="12"/>
      <c r="N183" s="12"/>
      <c r="O183" s="12"/>
      <c r="P183" s="12"/>
      <c r="Q183" s="12"/>
      <c r="R183" s="26" t="s">
        <v>413</v>
      </c>
      <c r="S183" s="12"/>
      <c r="T183" s="12">
        <v>14516.65</v>
      </c>
      <c r="U183" s="12"/>
      <c r="V183" s="12"/>
      <c r="W183" s="12"/>
      <c r="X183" s="12"/>
      <c r="Y183" s="12"/>
      <c r="Z183" s="12">
        <f t="shared" si="20"/>
        <v>-652.57999999999993</v>
      </c>
      <c r="AA183" s="12"/>
      <c r="AB183" s="12"/>
      <c r="AC183" s="12"/>
      <c r="AD183" s="12"/>
      <c r="AE183" s="12"/>
      <c r="AF183" s="21" t="s">
        <v>392</v>
      </c>
      <c r="AG183" s="12">
        <v>6000</v>
      </c>
      <c r="AH183" s="12"/>
      <c r="AI183" s="12"/>
      <c r="AJ183" s="22"/>
      <c r="AK183" s="4"/>
      <c r="AL183" s="12">
        <f t="shared" si="12"/>
        <v>6000</v>
      </c>
      <c r="AM183" s="24"/>
    </row>
    <row r="184" spans="1:39" ht="71.25" customHeight="1" x14ac:dyDescent="0.2">
      <c r="A184" s="19" t="s">
        <v>419</v>
      </c>
      <c r="B184" s="21" t="s">
        <v>412</v>
      </c>
      <c r="C184" s="21">
        <v>2220</v>
      </c>
      <c r="D184" s="12">
        <v>65000</v>
      </c>
      <c r="E184" s="12"/>
      <c r="F184" s="12">
        <f t="shared" ref="F184:F185" si="21">D184+E184</f>
        <v>65000</v>
      </c>
      <c r="G184" s="7"/>
      <c r="H184" s="12"/>
      <c r="I184" s="12">
        <v>-2846</v>
      </c>
      <c r="J184" s="12"/>
      <c r="K184" s="12"/>
      <c r="L184" s="14"/>
      <c r="M184" s="12"/>
      <c r="N184" s="12"/>
      <c r="O184" s="12"/>
      <c r="P184" s="12"/>
      <c r="Q184" s="12"/>
      <c r="R184" s="26" t="s">
        <v>413</v>
      </c>
      <c r="S184" s="12"/>
      <c r="T184" s="12">
        <v>14516.65</v>
      </c>
      <c r="U184" s="12"/>
      <c r="V184" s="12"/>
      <c r="W184" s="12"/>
      <c r="X184" s="12"/>
      <c r="Y184" s="12"/>
      <c r="Z184" s="12">
        <f t="shared" si="20"/>
        <v>-652.57999999999993</v>
      </c>
      <c r="AA184" s="12"/>
      <c r="AB184" s="12"/>
      <c r="AC184" s="12"/>
      <c r="AD184" s="12"/>
      <c r="AE184" s="12"/>
      <c r="AF184" s="21" t="s">
        <v>282</v>
      </c>
      <c r="AG184" s="12">
        <v>500</v>
      </c>
      <c r="AH184" s="12"/>
      <c r="AI184" s="12"/>
      <c r="AJ184" s="22"/>
      <c r="AK184" s="4"/>
      <c r="AL184" s="12">
        <f t="shared" si="12"/>
        <v>500</v>
      </c>
      <c r="AM184" s="24"/>
    </row>
    <row r="185" spans="1:39" ht="45" x14ac:dyDescent="0.2">
      <c r="A185" s="19" t="s">
        <v>420</v>
      </c>
      <c r="B185" s="21" t="s">
        <v>412</v>
      </c>
      <c r="C185" s="21">
        <v>2220</v>
      </c>
      <c r="D185" s="12">
        <v>65000</v>
      </c>
      <c r="E185" s="12"/>
      <c r="F185" s="12">
        <f t="shared" si="21"/>
        <v>65000</v>
      </c>
      <c r="G185" s="7"/>
      <c r="H185" s="12"/>
      <c r="I185" s="12">
        <v>-2846</v>
      </c>
      <c r="J185" s="12"/>
      <c r="K185" s="12"/>
      <c r="L185" s="14"/>
      <c r="M185" s="12"/>
      <c r="N185" s="12"/>
      <c r="O185" s="12"/>
      <c r="P185" s="12"/>
      <c r="Q185" s="12"/>
      <c r="R185" s="26" t="s">
        <v>413</v>
      </c>
      <c r="S185" s="12"/>
      <c r="T185" s="12">
        <v>14516.65</v>
      </c>
      <c r="U185" s="12"/>
      <c r="V185" s="12"/>
      <c r="W185" s="12"/>
      <c r="X185" s="12"/>
      <c r="Y185" s="12"/>
      <c r="Z185" s="12">
        <f t="shared" si="20"/>
        <v>-652.57999999999993</v>
      </c>
      <c r="AA185" s="12"/>
      <c r="AB185" s="12"/>
      <c r="AC185" s="12"/>
      <c r="AD185" s="12"/>
      <c r="AE185" s="12"/>
      <c r="AF185" s="21" t="s">
        <v>369</v>
      </c>
      <c r="AG185" s="12">
        <v>3000</v>
      </c>
      <c r="AH185" s="12"/>
      <c r="AI185" s="12"/>
      <c r="AJ185" s="22"/>
      <c r="AK185" s="4"/>
      <c r="AL185" s="12">
        <f t="shared" si="12"/>
        <v>3000</v>
      </c>
      <c r="AM185" s="24"/>
    </row>
    <row r="186" spans="1:39" ht="60" x14ac:dyDescent="0.2">
      <c r="A186" s="19" t="s">
        <v>421</v>
      </c>
      <c r="B186" s="21" t="s">
        <v>412</v>
      </c>
      <c r="C186" s="21">
        <v>2220</v>
      </c>
      <c r="D186" s="12">
        <v>65000</v>
      </c>
      <c r="E186" s="12"/>
      <c r="F186" s="12">
        <f t="shared" si="11"/>
        <v>65000</v>
      </c>
      <c r="G186" s="7"/>
      <c r="H186" s="12"/>
      <c r="I186" s="12">
        <v>-2846</v>
      </c>
      <c r="J186" s="12"/>
      <c r="K186" s="12"/>
      <c r="L186" s="14"/>
      <c r="M186" s="12"/>
      <c r="N186" s="12"/>
      <c r="O186" s="12"/>
      <c r="P186" s="12"/>
      <c r="Q186" s="12"/>
      <c r="R186" s="26" t="s">
        <v>413</v>
      </c>
      <c r="S186" s="12"/>
      <c r="T186" s="12">
        <v>14516.65</v>
      </c>
      <c r="U186" s="12"/>
      <c r="V186" s="12"/>
      <c r="W186" s="12"/>
      <c r="X186" s="12"/>
      <c r="Y186" s="12"/>
      <c r="Z186" s="12">
        <f t="shared" si="20"/>
        <v>-652.57999999999993</v>
      </c>
      <c r="AA186" s="12"/>
      <c r="AB186" s="12"/>
      <c r="AC186" s="12"/>
      <c r="AD186" s="12"/>
      <c r="AE186" s="12"/>
      <c r="AF186" s="21" t="s">
        <v>422</v>
      </c>
      <c r="AG186" s="12">
        <f>10000-300</f>
        <v>9700</v>
      </c>
      <c r="AH186" s="12"/>
      <c r="AI186" s="12"/>
      <c r="AJ186" s="22"/>
      <c r="AK186" s="4"/>
      <c r="AL186" s="12">
        <f t="shared" si="12"/>
        <v>9700</v>
      </c>
      <c r="AM186" s="24"/>
    </row>
    <row r="187" spans="1:39" ht="45" x14ac:dyDescent="0.2">
      <c r="A187" s="19" t="s">
        <v>423</v>
      </c>
      <c r="B187" s="21" t="s">
        <v>412</v>
      </c>
      <c r="C187" s="21">
        <v>2220</v>
      </c>
      <c r="D187" s="12">
        <v>65000</v>
      </c>
      <c r="E187" s="12"/>
      <c r="F187" s="12">
        <f>D187+E187</f>
        <v>65000</v>
      </c>
      <c r="G187" s="7"/>
      <c r="H187" s="12"/>
      <c r="I187" s="12">
        <v>-2846</v>
      </c>
      <c r="J187" s="12"/>
      <c r="K187" s="12"/>
      <c r="L187" s="14"/>
      <c r="M187" s="12"/>
      <c r="N187" s="12"/>
      <c r="O187" s="12"/>
      <c r="P187" s="12"/>
      <c r="Q187" s="12"/>
      <c r="R187" s="26" t="s">
        <v>413</v>
      </c>
      <c r="S187" s="12"/>
      <c r="T187" s="12">
        <v>14516.65</v>
      </c>
      <c r="U187" s="12"/>
      <c r="V187" s="12"/>
      <c r="W187" s="12"/>
      <c r="X187" s="12"/>
      <c r="Y187" s="12"/>
      <c r="Z187" s="12">
        <f t="shared" si="20"/>
        <v>-652.57999999999993</v>
      </c>
      <c r="AA187" s="12"/>
      <c r="AB187" s="12"/>
      <c r="AC187" s="12"/>
      <c r="AD187" s="12"/>
      <c r="AE187" s="12"/>
      <c r="AF187" s="21" t="s">
        <v>369</v>
      </c>
      <c r="AG187" s="12">
        <v>3000</v>
      </c>
      <c r="AH187" s="12"/>
      <c r="AI187" s="12"/>
      <c r="AJ187" s="22"/>
      <c r="AK187" s="4"/>
      <c r="AL187" s="12">
        <f t="shared" si="12"/>
        <v>3000</v>
      </c>
      <c r="AM187" s="24"/>
    </row>
    <row r="188" spans="1:39" ht="45" x14ac:dyDescent="0.2">
      <c r="A188" s="19" t="s">
        <v>424</v>
      </c>
      <c r="B188" s="21" t="s">
        <v>412</v>
      </c>
      <c r="C188" s="21">
        <v>2220</v>
      </c>
      <c r="D188" s="12">
        <v>65000</v>
      </c>
      <c r="E188" s="12"/>
      <c r="F188" s="12">
        <f t="shared" si="11"/>
        <v>65000</v>
      </c>
      <c r="G188" s="7"/>
      <c r="H188" s="12"/>
      <c r="I188" s="12">
        <v>-2846</v>
      </c>
      <c r="J188" s="12"/>
      <c r="K188" s="12"/>
      <c r="L188" s="14"/>
      <c r="M188" s="12"/>
      <c r="N188" s="12"/>
      <c r="O188" s="12"/>
      <c r="P188" s="12"/>
      <c r="Q188" s="12"/>
      <c r="R188" s="26" t="s">
        <v>413</v>
      </c>
      <c r="S188" s="12"/>
      <c r="T188" s="12">
        <v>14516.65</v>
      </c>
      <c r="U188" s="12"/>
      <c r="V188" s="12"/>
      <c r="W188" s="12"/>
      <c r="X188" s="12"/>
      <c r="Y188" s="12"/>
      <c r="Z188" s="12">
        <f t="shared" si="20"/>
        <v>-652.57999999999993</v>
      </c>
      <c r="AA188" s="12"/>
      <c r="AB188" s="12"/>
      <c r="AC188" s="12"/>
      <c r="AD188" s="12"/>
      <c r="AE188" s="12"/>
      <c r="AF188" s="21" t="s">
        <v>282</v>
      </c>
      <c r="AG188" s="12">
        <v>500</v>
      </c>
      <c r="AH188" s="12"/>
      <c r="AI188" s="12"/>
      <c r="AJ188" s="22"/>
      <c r="AK188" s="4"/>
      <c r="AL188" s="12">
        <f t="shared" si="12"/>
        <v>500</v>
      </c>
      <c r="AM188" s="24"/>
    </row>
    <row r="189" spans="1:39" ht="45" x14ac:dyDescent="0.2">
      <c r="A189" s="19" t="s">
        <v>425</v>
      </c>
      <c r="B189" s="21" t="s">
        <v>412</v>
      </c>
      <c r="C189" s="21">
        <v>2220</v>
      </c>
      <c r="D189" s="12">
        <v>65000</v>
      </c>
      <c r="E189" s="12"/>
      <c r="F189" s="12">
        <f>D189+E189</f>
        <v>65000</v>
      </c>
      <c r="G189" s="7"/>
      <c r="H189" s="12"/>
      <c r="I189" s="12">
        <v>-2846</v>
      </c>
      <c r="J189" s="12"/>
      <c r="K189" s="12"/>
      <c r="L189" s="14"/>
      <c r="M189" s="12"/>
      <c r="N189" s="12"/>
      <c r="O189" s="12"/>
      <c r="P189" s="12"/>
      <c r="Q189" s="12"/>
      <c r="R189" s="26" t="s">
        <v>413</v>
      </c>
      <c r="S189" s="12"/>
      <c r="T189" s="12">
        <v>14516.65</v>
      </c>
      <c r="U189" s="12"/>
      <c r="V189" s="12"/>
      <c r="W189" s="12"/>
      <c r="X189" s="12"/>
      <c r="Y189" s="12"/>
      <c r="Z189" s="12">
        <f t="shared" si="20"/>
        <v>-652.57999999999993</v>
      </c>
      <c r="AA189" s="12"/>
      <c r="AB189" s="12"/>
      <c r="AC189" s="12"/>
      <c r="AD189" s="12"/>
      <c r="AE189" s="12"/>
      <c r="AF189" s="21" t="s">
        <v>426</v>
      </c>
      <c r="AG189" s="12">
        <v>3500</v>
      </c>
      <c r="AH189" s="12"/>
      <c r="AI189" s="12"/>
      <c r="AJ189" s="22"/>
      <c r="AK189" s="4"/>
      <c r="AL189" s="12">
        <f t="shared" si="12"/>
        <v>3500</v>
      </c>
      <c r="AM189" s="24"/>
    </row>
    <row r="190" spans="1:39" ht="60" x14ac:dyDescent="0.2">
      <c r="A190" s="19" t="s">
        <v>427</v>
      </c>
      <c r="B190" s="21" t="s">
        <v>412</v>
      </c>
      <c r="C190" s="21">
        <v>2220</v>
      </c>
      <c r="D190" s="12">
        <v>65000</v>
      </c>
      <c r="E190" s="12"/>
      <c r="F190" s="12">
        <f t="shared" si="11"/>
        <v>65000</v>
      </c>
      <c r="G190" s="7"/>
      <c r="H190" s="12"/>
      <c r="I190" s="12">
        <v>-2846</v>
      </c>
      <c r="J190" s="12"/>
      <c r="K190" s="12"/>
      <c r="L190" s="14"/>
      <c r="M190" s="12"/>
      <c r="N190" s="12"/>
      <c r="O190" s="12"/>
      <c r="P190" s="12"/>
      <c r="Q190" s="12"/>
      <c r="R190" s="26" t="s">
        <v>413</v>
      </c>
      <c r="S190" s="12"/>
      <c r="T190" s="12">
        <v>14516.65</v>
      </c>
      <c r="U190" s="12"/>
      <c r="V190" s="12"/>
      <c r="W190" s="12"/>
      <c r="X190" s="12"/>
      <c r="Y190" s="12"/>
      <c r="Z190" s="12">
        <f t="shared" si="20"/>
        <v>-652.57999999999993</v>
      </c>
      <c r="AA190" s="12"/>
      <c r="AB190" s="12"/>
      <c r="AC190" s="12"/>
      <c r="AD190" s="12"/>
      <c r="AE190" s="12"/>
      <c r="AF190" s="21" t="s">
        <v>428</v>
      </c>
      <c r="AG190" s="12">
        <v>1500</v>
      </c>
      <c r="AH190" s="12"/>
      <c r="AI190" s="12"/>
      <c r="AJ190" s="22"/>
      <c r="AK190" s="4"/>
      <c r="AL190" s="12">
        <f t="shared" si="12"/>
        <v>1500</v>
      </c>
      <c r="AM190" s="24"/>
    </row>
    <row r="191" spans="1:39" ht="45" x14ac:dyDescent="0.2">
      <c r="A191" s="19" t="s">
        <v>429</v>
      </c>
      <c r="B191" s="21"/>
      <c r="C191" s="21">
        <v>2220</v>
      </c>
      <c r="D191" s="12"/>
      <c r="E191" s="12"/>
      <c r="F191" s="12"/>
      <c r="G191" s="7"/>
      <c r="H191" s="12"/>
      <c r="I191" s="12"/>
      <c r="J191" s="12"/>
      <c r="K191" s="13"/>
      <c r="L191" s="13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 t="s">
        <v>430</v>
      </c>
      <c r="AG191" s="12">
        <v>536.71</v>
      </c>
      <c r="AH191" s="12"/>
      <c r="AI191" s="12"/>
      <c r="AJ191" s="22"/>
      <c r="AK191" s="4"/>
      <c r="AL191" s="12">
        <f t="shared" si="12"/>
        <v>536.71</v>
      </c>
    </row>
    <row r="192" spans="1:39" ht="45" x14ac:dyDescent="0.2">
      <c r="A192" s="19" t="s">
        <v>431</v>
      </c>
      <c r="B192" s="21"/>
      <c r="C192" s="21">
        <v>2220</v>
      </c>
      <c r="D192" s="12"/>
      <c r="E192" s="12"/>
      <c r="F192" s="12"/>
      <c r="G192" s="7"/>
      <c r="H192" s="12"/>
      <c r="I192" s="12"/>
      <c r="J192" s="12"/>
      <c r="K192" s="13"/>
      <c r="L192" s="13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 t="s">
        <v>432</v>
      </c>
      <c r="AG192" s="12">
        <v>16.48</v>
      </c>
      <c r="AH192" s="12"/>
      <c r="AI192" s="12"/>
      <c r="AJ192" s="22"/>
      <c r="AK192" s="4"/>
      <c r="AL192" s="12">
        <f t="shared" si="12"/>
        <v>16.48</v>
      </c>
      <c r="AM192" s="24"/>
    </row>
    <row r="193" spans="1:39" ht="75" x14ac:dyDescent="0.2">
      <c r="A193" s="19" t="s">
        <v>433</v>
      </c>
      <c r="B193" s="21" t="s">
        <v>396</v>
      </c>
      <c r="C193" s="21">
        <v>2220</v>
      </c>
      <c r="D193" s="12">
        <v>45000</v>
      </c>
      <c r="E193" s="12"/>
      <c r="F193" s="12">
        <f>D193+E193</f>
        <v>45000</v>
      </c>
      <c r="G193" s="7"/>
      <c r="H193" s="12"/>
      <c r="I193" s="12"/>
      <c r="J193" s="12"/>
      <c r="K193" s="12"/>
      <c r="L193" s="14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>
        <v>-10911.91</v>
      </c>
      <c r="AA193" s="12"/>
      <c r="AB193" s="12"/>
      <c r="AC193" s="12"/>
      <c r="AD193" s="12"/>
      <c r="AE193" s="12"/>
      <c r="AF193" s="21" t="s">
        <v>434</v>
      </c>
      <c r="AG193" s="12">
        <f>50000-5000+150.58-10000</f>
        <v>35150.58</v>
      </c>
      <c r="AH193" s="12"/>
      <c r="AI193" s="12"/>
      <c r="AJ193" s="22"/>
      <c r="AK193" s="4" t="s">
        <v>398</v>
      </c>
      <c r="AL193" s="12" t="e">
        <f t="shared" si="12"/>
        <v>#VALUE!</v>
      </c>
      <c r="AM193" s="24"/>
    </row>
    <row r="194" spans="1:39" ht="75" x14ac:dyDescent="0.2">
      <c r="A194" s="19" t="s">
        <v>435</v>
      </c>
      <c r="B194" s="21" t="s">
        <v>396</v>
      </c>
      <c r="C194" s="21">
        <v>2220</v>
      </c>
      <c r="D194" s="12">
        <v>45000</v>
      </c>
      <c r="E194" s="12"/>
      <c r="F194" s="12">
        <f>D194+E194</f>
        <v>45000</v>
      </c>
      <c r="G194" s="7"/>
      <c r="H194" s="12"/>
      <c r="I194" s="12"/>
      <c r="J194" s="12"/>
      <c r="K194" s="12"/>
      <c r="L194" s="14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>
        <v>-10911.91</v>
      </c>
      <c r="AA194" s="12"/>
      <c r="AB194" s="12"/>
      <c r="AC194" s="12"/>
      <c r="AD194" s="12"/>
      <c r="AE194" s="12"/>
      <c r="AF194" s="21" t="s">
        <v>436</v>
      </c>
      <c r="AG194" s="12">
        <f>8500</f>
        <v>8500</v>
      </c>
      <c r="AH194" s="12"/>
      <c r="AI194" s="12"/>
      <c r="AJ194" s="22"/>
      <c r="AK194" s="4"/>
      <c r="AL194" s="12">
        <f t="shared" si="12"/>
        <v>8500</v>
      </c>
      <c r="AM194" s="24"/>
    </row>
    <row r="195" spans="1:39" ht="60" x14ac:dyDescent="0.2">
      <c r="A195" s="19" t="s">
        <v>437</v>
      </c>
      <c r="B195" s="21" t="s">
        <v>396</v>
      </c>
      <c r="C195" s="21">
        <v>2220</v>
      </c>
      <c r="D195" s="12">
        <v>45000</v>
      </c>
      <c r="E195" s="12"/>
      <c r="F195" s="12">
        <f>D195+E195</f>
        <v>45000</v>
      </c>
      <c r="G195" s="7"/>
      <c r="H195" s="12"/>
      <c r="I195" s="12"/>
      <c r="J195" s="12"/>
      <c r="K195" s="12"/>
      <c r="L195" s="14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>
        <v>-10911.91</v>
      </c>
      <c r="AA195" s="12"/>
      <c r="AB195" s="12"/>
      <c r="AC195" s="12"/>
      <c r="AD195" s="12"/>
      <c r="AE195" s="12"/>
      <c r="AF195" s="21" t="s">
        <v>397</v>
      </c>
      <c r="AG195" s="12">
        <v>5000</v>
      </c>
      <c r="AH195" s="12"/>
      <c r="AI195" s="12"/>
      <c r="AJ195" s="22"/>
      <c r="AK195" s="4"/>
      <c r="AL195" s="12">
        <f t="shared" si="12"/>
        <v>5000</v>
      </c>
      <c r="AM195" s="24"/>
    </row>
    <row r="196" spans="1:39" ht="64.5" customHeight="1" x14ac:dyDescent="0.2">
      <c r="A196" s="19" t="s">
        <v>438</v>
      </c>
      <c r="B196" s="28"/>
      <c r="C196" s="21">
        <v>2220</v>
      </c>
      <c r="D196" s="12"/>
      <c r="E196" s="12"/>
      <c r="F196" s="12"/>
      <c r="G196" s="7"/>
      <c r="H196" s="12"/>
      <c r="I196" s="12"/>
      <c r="J196" s="12"/>
      <c r="K196" s="13"/>
      <c r="L196" s="13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 t="s">
        <v>439</v>
      </c>
      <c r="AG196" s="12">
        <f>900+420</f>
        <v>1320</v>
      </c>
      <c r="AH196" s="12"/>
      <c r="AI196" s="12"/>
      <c r="AJ196" s="22"/>
      <c r="AK196" s="4"/>
      <c r="AL196" s="12">
        <f t="shared" si="12"/>
        <v>1320</v>
      </c>
      <c r="AM196" s="24"/>
    </row>
    <row r="197" spans="1:39" ht="64.5" customHeight="1" x14ac:dyDescent="0.2">
      <c r="A197" s="19" t="s">
        <v>440</v>
      </c>
      <c r="B197" s="28"/>
      <c r="C197" s="21">
        <v>2220</v>
      </c>
      <c r="D197" s="12"/>
      <c r="E197" s="12"/>
      <c r="F197" s="12"/>
      <c r="G197" s="7"/>
      <c r="H197" s="12"/>
      <c r="I197" s="12"/>
      <c r="J197" s="12"/>
      <c r="K197" s="13"/>
      <c r="L197" s="13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 t="s">
        <v>441</v>
      </c>
      <c r="AG197" s="12">
        <v>300</v>
      </c>
      <c r="AH197" s="12"/>
      <c r="AI197" s="12"/>
      <c r="AJ197" s="22"/>
      <c r="AK197" s="4"/>
      <c r="AL197" s="12">
        <f t="shared" si="12"/>
        <v>300</v>
      </c>
      <c r="AM197" s="24"/>
    </row>
    <row r="198" spans="1:39" ht="60" x14ac:dyDescent="0.2">
      <c r="A198" s="19" t="s">
        <v>442</v>
      </c>
      <c r="B198" s="21" t="s">
        <v>443</v>
      </c>
      <c r="C198" s="21">
        <v>2220</v>
      </c>
      <c r="D198" s="12"/>
      <c r="E198" s="12"/>
      <c r="F198" s="12"/>
      <c r="G198" s="7"/>
      <c r="H198" s="12"/>
      <c r="I198" s="12"/>
      <c r="J198" s="12"/>
      <c r="K198" s="12">
        <v>2775</v>
      </c>
      <c r="L198" s="14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21" t="s">
        <v>369</v>
      </c>
      <c r="AG198" s="12">
        <v>3000</v>
      </c>
      <c r="AH198" s="12"/>
      <c r="AI198" s="12"/>
      <c r="AJ198" s="22"/>
      <c r="AK198" s="4" t="s">
        <v>444</v>
      </c>
      <c r="AL198" s="12" t="e">
        <f t="shared" si="12"/>
        <v>#VALUE!</v>
      </c>
    </row>
    <row r="199" spans="1:39" ht="90" customHeight="1" x14ac:dyDescent="0.2">
      <c r="A199" s="19" t="s">
        <v>445</v>
      </c>
      <c r="B199" s="21" t="s">
        <v>162</v>
      </c>
      <c r="C199" s="21">
        <v>2220</v>
      </c>
      <c r="D199" s="12">
        <v>30000</v>
      </c>
      <c r="E199" s="12"/>
      <c r="F199" s="12">
        <f t="shared" si="11"/>
        <v>30000</v>
      </c>
      <c r="G199" s="7"/>
      <c r="H199" s="12"/>
      <c r="I199" s="12"/>
      <c r="J199" s="12"/>
      <c r="K199" s="12">
        <v>-220</v>
      </c>
      <c r="L199" s="14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>
        <f>205.44-216.61</f>
        <v>-11.170000000000016</v>
      </c>
      <c r="AA199" s="12"/>
      <c r="AB199" s="12"/>
      <c r="AC199" s="12"/>
      <c r="AD199" s="12"/>
      <c r="AE199" s="12"/>
      <c r="AF199" s="21" t="s">
        <v>446</v>
      </c>
      <c r="AG199" s="12">
        <f>60000+800-460-9540</f>
        <v>50800</v>
      </c>
      <c r="AH199" s="12"/>
      <c r="AI199" s="12"/>
      <c r="AJ199" s="22"/>
      <c r="AK199" s="4" t="s">
        <v>164</v>
      </c>
      <c r="AL199" s="12" t="e">
        <f t="shared" si="12"/>
        <v>#VALUE!</v>
      </c>
    </row>
    <row r="200" spans="1:39" ht="148.5" customHeight="1" x14ac:dyDescent="0.2">
      <c r="A200" s="19" t="s">
        <v>447</v>
      </c>
      <c r="B200" s="20" t="s">
        <v>56</v>
      </c>
      <c r="C200" s="21">
        <v>2220</v>
      </c>
      <c r="D200" s="12">
        <v>5000</v>
      </c>
      <c r="E200" s="12"/>
      <c r="F200" s="12">
        <f t="shared" si="11"/>
        <v>5000</v>
      </c>
      <c r="G200" s="7"/>
      <c r="H200" s="12"/>
      <c r="I200" s="12"/>
      <c r="J200" s="12"/>
      <c r="K200" s="13"/>
      <c r="L200" s="14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>
        <v>-4689.7</v>
      </c>
      <c r="AA200" s="12"/>
      <c r="AB200" s="12"/>
      <c r="AC200" s="12"/>
      <c r="AD200" s="12"/>
      <c r="AE200" s="12"/>
      <c r="AF200" s="21" t="s">
        <v>192</v>
      </c>
      <c r="AG200" s="12">
        <v>1000</v>
      </c>
      <c r="AH200" s="12"/>
      <c r="AI200" s="12"/>
      <c r="AJ200" s="22"/>
      <c r="AK200" s="4" t="s">
        <v>448</v>
      </c>
      <c r="AL200" s="12" t="e">
        <f t="shared" si="12"/>
        <v>#VALUE!</v>
      </c>
    </row>
    <row r="201" spans="1:39" ht="77.25" customHeight="1" x14ac:dyDescent="0.2">
      <c r="A201" s="19" t="s">
        <v>449</v>
      </c>
      <c r="B201" s="20" t="s">
        <v>450</v>
      </c>
      <c r="C201" s="21">
        <v>2220</v>
      </c>
      <c r="D201" s="12">
        <v>2000</v>
      </c>
      <c r="E201" s="12"/>
      <c r="F201" s="12">
        <f t="shared" si="11"/>
        <v>2000</v>
      </c>
      <c r="G201" s="7"/>
      <c r="H201" s="12"/>
      <c r="I201" s="12"/>
      <c r="J201" s="12"/>
      <c r="K201" s="12"/>
      <c r="L201" s="14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>
        <v>-2000</v>
      </c>
      <c r="AA201" s="12"/>
      <c r="AB201" s="12"/>
      <c r="AC201" s="12"/>
      <c r="AD201" s="12"/>
      <c r="AE201" s="12"/>
      <c r="AF201" s="21" t="s">
        <v>451</v>
      </c>
      <c r="AG201" s="12">
        <f>1000-420</f>
        <v>580</v>
      </c>
      <c r="AH201" s="12"/>
      <c r="AI201" s="12"/>
      <c r="AJ201" s="22"/>
      <c r="AK201" s="4" t="s">
        <v>448</v>
      </c>
      <c r="AL201" s="12" t="e">
        <f t="shared" si="12"/>
        <v>#VALUE!</v>
      </c>
    </row>
    <row r="202" spans="1:39" ht="60" x14ac:dyDescent="0.2">
      <c r="A202" s="19" t="s">
        <v>452</v>
      </c>
      <c r="B202" s="20" t="s">
        <v>453</v>
      </c>
      <c r="C202" s="21">
        <v>2220</v>
      </c>
      <c r="D202" s="12">
        <v>1000</v>
      </c>
      <c r="E202" s="26"/>
      <c r="F202" s="12">
        <f t="shared" si="11"/>
        <v>1000</v>
      </c>
      <c r="G202" s="27"/>
      <c r="H202" s="13"/>
      <c r="I202" s="13"/>
      <c r="J202" s="13"/>
      <c r="K202" s="13">
        <v>483.02</v>
      </c>
      <c r="L202" s="14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>
        <v>-514.44000000000005</v>
      </c>
      <c r="AA202" s="12"/>
      <c r="AB202" s="12"/>
      <c r="AC202" s="12"/>
      <c r="AD202" s="12"/>
      <c r="AE202" s="12"/>
      <c r="AF202" s="21" t="s">
        <v>354</v>
      </c>
      <c r="AG202" s="12">
        <v>2000</v>
      </c>
      <c r="AH202" s="12"/>
      <c r="AI202" s="12"/>
      <c r="AJ202" s="22"/>
      <c r="AK202" s="4" t="s">
        <v>454</v>
      </c>
      <c r="AL202" s="12" t="e">
        <f t="shared" si="12"/>
        <v>#VALUE!</v>
      </c>
    </row>
    <row r="203" spans="1:39" ht="60" x14ac:dyDescent="0.2">
      <c r="A203" s="19" t="s">
        <v>455</v>
      </c>
      <c r="B203" s="21"/>
      <c r="C203" s="21">
        <v>2220</v>
      </c>
      <c r="D203" s="12"/>
      <c r="E203" s="12"/>
      <c r="F203" s="12"/>
      <c r="G203" s="7"/>
      <c r="H203" s="12"/>
      <c r="I203" s="12"/>
      <c r="J203" s="12"/>
      <c r="K203" s="13"/>
      <c r="L203" s="13"/>
      <c r="M203" s="12"/>
      <c r="N203" s="12"/>
      <c r="O203" s="26"/>
      <c r="P203" s="12"/>
      <c r="Q203" s="12"/>
      <c r="R203" s="26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21" t="s">
        <v>456</v>
      </c>
      <c r="AG203" s="12">
        <f>10000-853</f>
        <v>9147</v>
      </c>
      <c r="AH203" s="12"/>
      <c r="AI203" s="12"/>
      <c r="AJ203" s="22"/>
      <c r="AK203" s="4"/>
      <c r="AL203" s="12">
        <f t="shared" ref="AL203:AL269" si="22">AG203-AK203</f>
        <v>9147</v>
      </c>
      <c r="AM203" s="24"/>
    </row>
    <row r="204" spans="1:39" ht="75" x14ac:dyDescent="0.2">
      <c r="A204" s="19" t="s">
        <v>457</v>
      </c>
      <c r="B204" s="21"/>
      <c r="C204" s="21">
        <v>2220</v>
      </c>
      <c r="D204" s="12"/>
      <c r="E204" s="12"/>
      <c r="F204" s="12"/>
      <c r="G204" s="7"/>
      <c r="H204" s="12"/>
      <c r="I204" s="12"/>
      <c r="J204" s="12"/>
      <c r="K204" s="13"/>
      <c r="L204" s="13"/>
      <c r="M204" s="12"/>
      <c r="N204" s="12"/>
      <c r="O204" s="26"/>
      <c r="P204" s="12"/>
      <c r="Q204" s="12"/>
      <c r="R204" s="26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21" t="s">
        <v>278</v>
      </c>
      <c r="AG204" s="12">
        <f>533-533</f>
        <v>0</v>
      </c>
      <c r="AH204" s="12"/>
      <c r="AI204" s="12"/>
      <c r="AJ204" s="22"/>
      <c r="AK204" s="4"/>
      <c r="AL204" s="12">
        <f t="shared" si="22"/>
        <v>0</v>
      </c>
      <c r="AM204" s="24"/>
    </row>
    <row r="205" spans="1:39" ht="60" x14ac:dyDescent="0.2">
      <c r="A205" s="19" t="s">
        <v>458</v>
      </c>
      <c r="B205" s="21"/>
      <c r="C205" s="21">
        <v>2220</v>
      </c>
      <c r="D205" s="12"/>
      <c r="E205" s="12"/>
      <c r="F205" s="12"/>
      <c r="G205" s="7"/>
      <c r="H205" s="12"/>
      <c r="I205" s="12"/>
      <c r="J205" s="12"/>
      <c r="K205" s="13"/>
      <c r="L205" s="13"/>
      <c r="M205" s="12"/>
      <c r="N205" s="12"/>
      <c r="O205" s="26"/>
      <c r="P205" s="12"/>
      <c r="Q205" s="12"/>
      <c r="R205" s="26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21" t="s">
        <v>278</v>
      </c>
      <c r="AG205" s="12">
        <f>533-533</f>
        <v>0</v>
      </c>
      <c r="AH205" s="12"/>
      <c r="AI205" s="12"/>
      <c r="AJ205" s="22"/>
      <c r="AK205" s="4"/>
      <c r="AL205" s="12">
        <f t="shared" si="22"/>
        <v>0</v>
      </c>
      <c r="AM205" s="24"/>
    </row>
    <row r="206" spans="1:39" ht="60" x14ac:dyDescent="0.2">
      <c r="A206" s="19" t="s">
        <v>459</v>
      </c>
      <c r="B206" s="21"/>
      <c r="C206" s="21">
        <v>2220</v>
      </c>
      <c r="D206" s="12"/>
      <c r="E206" s="12"/>
      <c r="F206" s="12"/>
      <c r="G206" s="7"/>
      <c r="H206" s="12"/>
      <c r="I206" s="12"/>
      <c r="J206" s="12"/>
      <c r="K206" s="13"/>
      <c r="L206" s="13"/>
      <c r="M206" s="12"/>
      <c r="N206" s="12"/>
      <c r="O206" s="26"/>
      <c r="P206" s="12"/>
      <c r="Q206" s="12"/>
      <c r="R206" s="26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21" t="s">
        <v>460</v>
      </c>
      <c r="AG206" s="12">
        <v>374.64</v>
      </c>
      <c r="AH206" s="12"/>
      <c r="AI206" s="12"/>
      <c r="AJ206" s="22"/>
      <c r="AK206" s="4"/>
      <c r="AL206" s="12">
        <f t="shared" si="22"/>
        <v>374.64</v>
      </c>
      <c r="AM206" s="24"/>
    </row>
    <row r="207" spans="1:39" ht="60" x14ac:dyDescent="0.2">
      <c r="A207" s="19" t="s">
        <v>461</v>
      </c>
      <c r="B207" s="21"/>
      <c r="C207" s="21">
        <v>2220</v>
      </c>
      <c r="D207" s="12"/>
      <c r="E207" s="12"/>
      <c r="F207" s="12"/>
      <c r="G207" s="7"/>
      <c r="H207" s="12"/>
      <c r="I207" s="12"/>
      <c r="J207" s="12"/>
      <c r="K207" s="13"/>
      <c r="L207" s="13"/>
      <c r="M207" s="12"/>
      <c r="N207" s="12"/>
      <c r="O207" s="26"/>
      <c r="P207" s="12"/>
      <c r="Q207" s="12"/>
      <c r="R207" s="26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21" t="s">
        <v>462</v>
      </c>
      <c r="AG207" s="12">
        <v>336</v>
      </c>
      <c r="AH207" s="12"/>
      <c r="AI207" s="12"/>
      <c r="AJ207" s="22"/>
      <c r="AK207" s="4"/>
      <c r="AL207" s="12">
        <f t="shared" si="22"/>
        <v>336</v>
      </c>
      <c r="AM207" s="24"/>
    </row>
    <row r="208" spans="1:39" ht="60" x14ac:dyDescent="0.2">
      <c r="A208" s="19" t="s">
        <v>463</v>
      </c>
      <c r="B208" s="21"/>
      <c r="C208" s="21">
        <v>2220</v>
      </c>
      <c r="D208" s="12"/>
      <c r="E208" s="12"/>
      <c r="F208" s="12"/>
      <c r="G208" s="7"/>
      <c r="H208" s="12"/>
      <c r="I208" s="12"/>
      <c r="J208" s="12"/>
      <c r="K208" s="13"/>
      <c r="L208" s="13"/>
      <c r="M208" s="12"/>
      <c r="N208" s="12"/>
      <c r="O208" s="26"/>
      <c r="P208" s="12"/>
      <c r="Q208" s="12"/>
      <c r="R208" s="26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 t="s">
        <v>464</v>
      </c>
      <c r="AG208" s="12">
        <v>1752</v>
      </c>
      <c r="AH208" s="12"/>
      <c r="AI208" s="12"/>
      <c r="AJ208" s="22"/>
      <c r="AK208" s="4"/>
      <c r="AL208" s="12">
        <f t="shared" si="22"/>
        <v>1752</v>
      </c>
      <c r="AM208" s="24"/>
    </row>
    <row r="209" spans="1:42" s="23" customFormat="1" ht="76.5" customHeight="1" thickBot="1" x14ac:dyDescent="0.25">
      <c r="A209" s="19" t="s">
        <v>465</v>
      </c>
      <c r="B209" s="20" t="s">
        <v>222</v>
      </c>
      <c r="C209" s="21">
        <v>2220</v>
      </c>
      <c r="D209" s="21">
        <v>2210</v>
      </c>
      <c r="E209" s="12"/>
      <c r="F209" s="26"/>
      <c r="G209" s="12"/>
      <c r="H209" s="27"/>
      <c r="I209" s="9"/>
      <c r="J209" s="13"/>
      <c r="K209" s="13"/>
      <c r="L209" s="13"/>
      <c r="M209" s="13"/>
      <c r="N209" s="12"/>
      <c r="O209" s="12"/>
      <c r="P209" s="12"/>
      <c r="Q209" s="12"/>
      <c r="R209" s="12"/>
      <c r="S209" s="26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20" t="s">
        <v>466</v>
      </c>
      <c r="AG209" s="12">
        <v>1710</v>
      </c>
      <c r="AH209" s="12"/>
      <c r="AI209" s="12"/>
      <c r="AJ209" s="22"/>
      <c r="AK209" s="4"/>
      <c r="AL209" s="12">
        <f t="shared" si="22"/>
        <v>1710</v>
      </c>
      <c r="AM209" s="3"/>
      <c r="AN209" s="3"/>
      <c r="AO209" s="3"/>
      <c r="AP209" s="3"/>
    </row>
    <row r="210" spans="1:42" ht="90.75" thickBot="1" x14ac:dyDescent="0.25">
      <c r="A210" s="19" t="s">
        <v>467</v>
      </c>
      <c r="B210" s="21"/>
      <c r="C210" s="21">
        <v>2220</v>
      </c>
      <c r="D210" s="12"/>
      <c r="E210" s="12"/>
      <c r="F210" s="12"/>
      <c r="G210" s="7"/>
      <c r="H210" s="12"/>
      <c r="I210" s="12"/>
      <c r="J210" s="12"/>
      <c r="K210" s="13"/>
      <c r="L210" s="13"/>
      <c r="M210" s="12"/>
      <c r="N210" s="12"/>
      <c r="O210" s="26"/>
      <c r="P210" s="12"/>
      <c r="Q210" s="12"/>
      <c r="R210" s="26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21" t="s">
        <v>468</v>
      </c>
      <c r="AG210" s="12">
        <v>320</v>
      </c>
      <c r="AH210" s="12"/>
      <c r="AI210" s="12"/>
      <c r="AJ210" s="22"/>
      <c r="AK210" s="4"/>
      <c r="AL210" s="12">
        <f t="shared" si="22"/>
        <v>320</v>
      </c>
      <c r="AM210" s="40" t="s">
        <v>469</v>
      </c>
    </row>
    <row r="211" spans="1:42" ht="90" x14ac:dyDescent="0.2">
      <c r="A211" s="19" t="s">
        <v>470</v>
      </c>
      <c r="B211" s="21"/>
      <c r="C211" s="21">
        <v>2220</v>
      </c>
      <c r="D211" s="12"/>
      <c r="E211" s="12"/>
      <c r="F211" s="12"/>
      <c r="G211" s="7"/>
      <c r="H211" s="12"/>
      <c r="I211" s="12"/>
      <c r="J211" s="12"/>
      <c r="K211" s="13"/>
      <c r="L211" s="13"/>
      <c r="M211" s="12"/>
      <c r="N211" s="12"/>
      <c r="O211" s="26"/>
      <c r="P211" s="12"/>
      <c r="Q211" s="12"/>
      <c r="R211" s="26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21" t="s">
        <v>471</v>
      </c>
      <c r="AG211" s="12">
        <f>2300+460</f>
        <v>2760</v>
      </c>
      <c r="AH211" s="12"/>
      <c r="AI211" s="12"/>
      <c r="AJ211" s="22"/>
      <c r="AK211" s="4"/>
      <c r="AL211" s="12">
        <f t="shared" si="22"/>
        <v>2760</v>
      </c>
      <c r="AM211" s="24"/>
    </row>
    <row r="212" spans="1:42" ht="75" x14ac:dyDescent="0.2">
      <c r="A212" s="19" t="s">
        <v>472</v>
      </c>
      <c r="B212" s="21"/>
      <c r="C212" s="21">
        <v>2220</v>
      </c>
      <c r="D212" s="12"/>
      <c r="E212" s="12"/>
      <c r="F212" s="12"/>
      <c r="G212" s="7"/>
      <c r="H212" s="12"/>
      <c r="I212" s="12"/>
      <c r="J212" s="12"/>
      <c r="K212" s="13"/>
      <c r="L212" s="13"/>
      <c r="M212" s="12"/>
      <c r="N212" s="12"/>
      <c r="O212" s="26"/>
      <c r="P212" s="12"/>
      <c r="Q212" s="12"/>
      <c r="R212" s="26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21" t="s">
        <v>473</v>
      </c>
      <c r="AG212" s="12">
        <v>533</v>
      </c>
      <c r="AH212" s="12"/>
      <c r="AI212" s="12"/>
      <c r="AJ212" s="22"/>
      <c r="AK212" s="4"/>
      <c r="AL212" s="12">
        <f t="shared" si="22"/>
        <v>533</v>
      </c>
      <c r="AM212" s="24"/>
    </row>
    <row r="213" spans="1:42" ht="78" customHeight="1" x14ac:dyDescent="0.2">
      <c r="A213" s="19" t="s">
        <v>474</v>
      </c>
      <c r="B213" s="20" t="s">
        <v>475</v>
      </c>
      <c r="C213" s="21">
        <v>2220</v>
      </c>
      <c r="D213" s="12">
        <v>50000</v>
      </c>
      <c r="E213" s="12"/>
      <c r="F213" s="12">
        <f t="shared" ref="F213:F214" si="23">D213+E213</f>
        <v>50000</v>
      </c>
      <c r="G213" s="7"/>
      <c r="H213" s="12"/>
      <c r="I213" s="12"/>
      <c r="J213" s="12"/>
      <c r="K213" s="12">
        <v>-13038.02</v>
      </c>
      <c r="L213" s="14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>
        <v>-1914.75</v>
      </c>
      <c r="AA213" s="12"/>
      <c r="AB213" s="12"/>
      <c r="AC213" s="12"/>
      <c r="AD213" s="12"/>
      <c r="AE213" s="12"/>
      <c r="AF213" s="21" t="s">
        <v>476</v>
      </c>
      <c r="AG213" s="12">
        <v>236</v>
      </c>
      <c r="AH213" s="12"/>
      <c r="AI213" s="12"/>
      <c r="AJ213" s="22"/>
      <c r="AK213" s="4"/>
      <c r="AL213" s="12">
        <f t="shared" si="22"/>
        <v>236</v>
      </c>
      <c r="AM213" s="24"/>
    </row>
    <row r="214" spans="1:42" ht="78" customHeight="1" x14ac:dyDescent="0.2">
      <c r="A214" s="19" t="s">
        <v>477</v>
      </c>
      <c r="B214" s="20" t="s">
        <v>475</v>
      </c>
      <c r="C214" s="21">
        <v>2220</v>
      </c>
      <c r="D214" s="12">
        <v>50000</v>
      </c>
      <c r="E214" s="12"/>
      <c r="F214" s="12">
        <f t="shared" si="23"/>
        <v>50000</v>
      </c>
      <c r="G214" s="7"/>
      <c r="H214" s="12"/>
      <c r="I214" s="12"/>
      <c r="J214" s="12"/>
      <c r="K214" s="12">
        <v>-13038.02</v>
      </c>
      <c r="L214" s="14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>
        <v>-1914.75</v>
      </c>
      <c r="AA214" s="12"/>
      <c r="AB214" s="12"/>
      <c r="AC214" s="12"/>
      <c r="AD214" s="12"/>
      <c r="AE214" s="12"/>
      <c r="AF214" s="21" t="s">
        <v>478</v>
      </c>
      <c r="AG214" s="12">
        <f>40000-1500+3404.8+10000</f>
        <v>51904.800000000003</v>
      </c>
      <c r="AH214" s="12"/>
      <c r="AI214" s="12"/>
      <c r="AJ214" s="22"/>
      <c r="AK214" s="4" t="s">
        <v>479</v>
      </c>
      <c r="AL214" s="12" t="e">
        <f t="shared" si="22"/>
        <v>#VALUE!</v>
      </c>
      <c r="AM214" s="24"/>
    </row>
    <row r="215" spans="1:42" ht="99.75" customHeight="1" x14ac:dyDescent="0.2">
      <c r="A215" s="19" t="s">
        <v>480</v>
      </c>
      <c r="B215" s="21"/>
      <c r="C215" s="21">
        <v>2220</v>
      </c>
      <c r="D215" s="12"/>
      <c r="E215" s="12"/>
      <c r="F215" s="12"/>
      <c r="G215" s="7"/>
      <c r="H215" s="12"/>
      <c r="I215" s="12"/>
      <c r="J215" s="12"/>
      <c r="K215" s="13"/>
      <c r="L215" s="13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 t="s">
        <v>481</v>
      </c>
      <c r="AG215" s="12">
        <v>1214.45</v>
      </c>
      <c r="AH215" s="12"/>
      <c r="AI215" s="12"/>
      <c r="AJ215" s="22"/>
      <c r="AK215" s="4"/>
      <c r="AL215" s="12">
        <f t="shared" si="22"/>
        <v>1214.45</v>
      </c>
    </row>
    <row r="216" spans="1:42" ht="90" x14ac:dyDescent="0.2">
      <c r="A216" s="19" t="s">
        <v>482</v>
      </c>
      <c r="B216" s="21"/>
      <c r="C216" s="21">
        <v>2220</v>
      </c>
      <c r="D216" s="12"/>
      <c r="E216" s="12"/>
      <c r="F216" s="12"/>
      <c r="G216" s="7"/>
      <c r="H216" s="12"/>
      <c r="I216" s="12"/>
      <c r="J216" s="12"/>
      <c r="K216" s="13"/>
      <c r="L216" s="13"/>
      <c r="M216" s="12"/>
      <c r="N216" s="12"/>
      <c r="O216" s="26"/>
      <c r="P216" s="12"/>
      <c r="Q216" s="12"/>
      <c r="R216" s="26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21" t="s">
        <v>278</v>
      </c>
      <c r="AG216" s="12">
        <f>1500-1500</f>
        <v>0</v>
      </c>
      <c r="AH216" s="12"/>
      <c r="AI216" s="12"/>
      <c r="AJ216" s="22"/>
      <c r="AK216" s="4"/>
      <c r="AL216" s="12">
        <f t="shared" si="22"/>
        <v>0</v>
      </c>
      <c r="AM216" s="24"/>
    </row>
    <row r="217" spans="1:42" ht="105" x14ac:dyDescent="0.2">
      <c r="A217" s="19" t="s">
        <v>483</v>
      </c>
      <c r="B217" s="21"/>
      <c r="C217" s="21">
        <v>2220</v>
      </c>
      <c r="D217" s="12"/>
      <c r="E217" s="12"/>
      <c r="F217" s="12"/>
      <c r="G217" s="7"/>
      <c r="H217" s="12"/>
      <c r="I217" s="12"/>
      <c r="J217" s="12"/>
      <c r="K217" s="13"/>
      <c r="L217" s="13"/>
      <c r="M217" s="12"/>
      <c r="N217" s="12"/>
      <c r="O217" s="26"/>
      <c r="P217" s="12"/>
      <c r="Q217" s="12"/>
      <c r="R217" s="26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 t="s">
        <v>484</v>
      </c>
      <c r="AG217" s="12">
        <v>1500</v>
      </c>
      <c r="AH217" s="12"/>
      <c r="AI217" s="12"/>
      <c r="AJ217" s="22"/>
      <c r="AK217" s="4"/>
      <c r="AL217" s="12">
        <f t="shared" si="22"/>
        <v>1500</v>
      </c>
      <c r="AM217" s="24"/>
    </row>
    <row r="218" spans="1:42" ht="78.75" customHeight="1" x14ac:dyDescent="0.2">
      <c r="A218" s="19" t="s">
        <v>485</v>
      </c>
      <c r="B218" s="20" t="s">
        <v>475</v>
      </c>
      <c r="C218" s="21">
        <v>2220</v>
      </c>
      <c r="D218" s="12">
        <v>50000</v>
      </c>
      <c r="E218" s="12"/>
      <c r="F218" s="12">
        <f>D218+E218</f>
        <v>50000</v>
      </c>
      <c r="G218" s="7"/>
      <c r="H218" s="12"/>
      <c r="I218" s="12"/>
      <c r="J218" s="12"/>
      <c r="K218" s="12">
        <v>-13038.02</v>
      </c>
      <c r="L218" s="14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>
        <v>-1914.75</v>
      </c>
      <c r="AA218" s="12"/>
      <c r="AB218" s="12"/>
      <c r="AC218" s="12"/>
      <c r="AD218" s="12"/>
      <c r="AE218" s="12"/>
      <c r="AF218" s="12" t="s">
        <v>486</v>
      </c>
      <c r="AG218" s="12">
        <f>20000+1445.38+9540</f>
        <v>30985.38</v>
      </c>
      <c r="AH218" s="12"/>
      <c r="AI218" s="12"/>
      <c r="AJ218" s="22"/>
      <c r="AK218" s="4" t="s">
        <v>487</v>
      </c>
      <c r="AL218" s="12" t="e">
        <f t="shared" si="22"/>
        <v>#VALUE!</v>
      </c>
      <c r="AM218" s="24"/>
    </row>
    <row r="219" spans="1:42" ht="79.5" customHeight="1" x14ac:dyDescent="0.2">
      <c r="A219" s="19" t="s">
        <v>488</v>
      </c>
      <c r="B219" s="21"/>
      <c r="C219" s="21">
        <v>2220</v>
      </c>
      <c r="D219" s="12"/>
      <c r="E219" s="12"/>
      <c r="F219" s="12"/>
      <c r="G219" s="7"/>
      <c r="H219" s="12"/>
      <c r="I219" s="12"/>
      <c r="J219" s="12"/>
      <c r="K219" s="13"/>
      <c r="L219" s="13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 t="s">
        <v>489</v>
      </c>
      <c r="AG219" s="12">
        <v>5.8</v>
      </c>
      <c r="AH219" s="12"/>
      <c r="AI219" s="12"/>
      <c r="AJ219" s="22"/>
      <c r="AK219" s="4"/>
      <c r="AL219" s="12">
        <f t="shared" si="22"/>
        <v>5.8</v>
      </c>
      <c r="AM219" s="24"/>
    </row>
    <row r="220" spans="1:42" ht="60.75" customHeight="1" x14ac:dyDescent="0.2">
      <c r="A220" s="19" t="s">
        <v>490</v>
      </c>
      <c r="B220" s="20" t="s">
        <v>475</v>
      </c>
      <c r="C220" s="21">
        <v>2220</v>
      </c>
      <c r="D220" s="12">
        <v>50000</v>
      </c>
      <c r="E220" s="12"/>
      <c r="F220" s="12">
        <f t="shared" ref="F220" si="24">D220+E220</f>
        <v>50000</v>
      </c>
      <c r="G220" s="7"/>
      <c r="H220" s="12"/>
      <c r="I220" s="12"/>
      <c r="J220" s="12"/>
      <c r="K220" s="12">
        <v>-13038.02</v>
      </c>
      <c r="L220" s="14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>
        <v>-1914.75</v>
      </c>
      <c r="AA220" s="12"/>
      <c r="AB220" s="12"/>
      <c r="AC220" s="12"/>
      <c r="AD220" s="12"/>
      <c r="AE220" s="12"/>
      <c r="AF220" s="21" t="s">
        <v>491</v>
      </c>
      <c r="AG220" s="12">
        <v>2500</v>
      </c>
      <c r="AH220" s="12"/>
      <c r="AI220" s="12"/>
      <c r="AJ220" s="22"/>
      <c r="AK220" s="4" t="s">
        <v>492</v>
      </c>
      <c r="AL220" s="12" t="e">
        <f t="shared" si="22"/>
        <v>#VALUE!</v>
      </c>
      <c r="AM220" s="24"/>
    </row>
    <row r="221" spans="1:42" ht="63" customHeight="1" x14ac:dyDescent="0.2">
      <c r="A221" s="19" t="s">
        <v>493</v>
      </c>
      <c r="B221" s="21"/>
      <c r="C221" s="21">
        <v>2220</v>
      </c>
      <c r="D221" s="12"/>
      <c r="E221" s="12"/>
      <c r="F221" s="12"/>
      <c r="G221" s="7"/>
      <c r="H221" s="12"/>
      <c r="I221" s="12"/>
      <c r="J221" s="12"/>
      <c r="K221" s="13"/>
      <c r="L221" s="13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21" t="s">
        <v>494</v>
      </c>
      <c r="AG221" s="12">
        <f>1000+700</f>
        <v>1700</v>
      </c>
      <c r="AH221" s="41"/>
      <c r="AI221" s="12"/>
      <c r="AJ221" s="22"/>
      <c r="AK221" s="4"/>
      <c r="AL221" s="12">
        <f t="shared" si="22"/>
        <v>1700</v>
      </c>
      <c r="AM221" s="24"/>
    </row>
    <row r="222" spans="1:42" ht="63" customHeight="1" x14ac:dyDescent="0.2">
      <c r="A222" s="35" t="s">
        <v>495</v>
      </c>
      <c r="B222" s="21"/>
      <c r="C222" s="21"/>
      <c r="D222" s="12"/>
      <c r="E222" s="12"/>
      <c r="F222" s="12"/>
      <c r="G222" s="7"/>
      <c r="H222" s="12"/>
      <c r="I222" s="12"/>
      <c r="J222" s="12"/>
      <c r="K222" s="13"/>
      <c r="L222" s="13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9" t="s">
        <v>496</v>
      </c>
      <c r="AG222" s="12">
        <f>SUM(AG120:AG221)</f>
        <v>1186728.4999999998</v>
      </c>
      <c r="AH222" s="12"/>
      <c r="AI222" s="12"/>
      <c r="AJ222" s="22" t="s">
        <v>497</v>
      </c>
      <c r="AK222" s="4">
        <f>24245+13371+139112.5+1010000</f>
        <v>1186728.5</v>
      </c>
      <c r="AL222" s="12">
        <f t="shared" si="22"/>
        <v>0</v>
      </c>
      <c r="AM222" s="3">
        <f>24245+13371+139112.5</f>
        <v>176728.5</v>
      </c>
      <c r="AN222" s="22" t="s">
        <v>498</v>
      </c>
    </row>
    <row r="223" spans="1:42" ht="48" customHeight="1" x14ac:dyDescent="0.2">
      <c r="A223" s="19" t="s">
        <v>499</v>
      </c>
      <c r="B223" s="21"/>
      <c r="C223" s="21">
        <v>2230</v>
      </c>
      <c r="D223" s="21"/>
      <c r="E223" s="20"/>
      <c r="F223" s="21"/>
      <c r="G223" s="20"/>
      <c r="H223" s="21"/>
      <c r="I223" s="20"/>
      <c r="J223" s="21"/>
      <c r="K223" s="20"/>
      <c r="L223" s="21"/>
      <c r="M223" s="20"/>
      <c r="N223" s="21"/>
      <c r="O223" s="20"/>
      <c r="P223" s="21"/>
      <c r="Q223" s="20"/>
      <c r="R223" s="21"/>
      <c r="S223" s="20"/>
      <c r="T223" s="21"/>
      <c r="U223" s="20"/>
      <c r="V223" s="21"/>
      <c r="W223" s="20"/>
      <c r="X223" s="21"/>
      <c r="Y223" s="20"/>
      <c r="Z223" s="21"/>
      <c r="AA223" s="20"/>
      <c r="AB223" s="21"/>
      <c r="AC223" s="20"/>
      <c r="AD223" s="21"/>
      <c r="AE223" s="20"/>
      <c r="AF223" s="12" t="s">
        <v>500</v>
      </c>
      <c r="AG223" s="20">
        <f>1202+38400</f>
        <v>39602</v>
      </c>
      <c r="AH223" s="20"/>
      <c r="AI223" s="12"/>
      <c r="AJ223" s="22"/>
      <c r="AK223" s="4"/>
      <c r="AL223" s="12">
        <f t="shared" si="22"/>
        <v>39602</v>
      </c>
      <c r="AM223" s="4">
        <f>14150+132701.1+1010000</f>
        <v>1156851.1000000001</v>
      </c>
      <c r="AN223" s="4"/>
      <c r="AO223" s="4"/>
    </row>
    <row r="224" spans="1:42" ht="60" x14ac:dyDescent="0.2">
      <c r="A224" s="19" t="s">
        <v>501</v>
      </c>
      <c r="B224" s="21" t="s">
        <v>502</v>
      </c>
      <c r="C224" s="21">
        <v>2230</v>
      </c>
      <c r="D224" s="21">
        <f>4.5*1200+4.5*330+7.3*350+3000*4.5+900*4.5+600*8.5+577.91</f>
        <v>32667.91</v>
      </c>
      <c r="E224" s="20"/>
      <c r="F224" s="21">
        <f t="shared" ref="F224" si="25">D224+E224</f>
        <v>32667.91</v>
      </c>
      <c r="G224" s="20"/>
      <c r="H224" s="21"/>
      <c r="I224" s="20"/>
      <c r="J224" s="21"/>
      <c r="K224" s="20"/>
      <c r="L224" s="21"/>
      <c r="M224" s="20"/>
      <c r="N224" s="21"/>
      <c r="O224" s="20"/>
      <c r="P224" s="21"/>
      <c r="Q224" s="20"/>
      <c r="R224" s="21"/>
      <c r="S224" s="20"/>
      <c r="T224" s="21"/>
      <c r="U224" s="20"/>
      <c r="V224" s="21"/>
      <c r="W224" s="20"/>
      <c r="X224" s="21">
        <v>1892.9</v>
      </c>
      <c r="Y224" s="20"/>
      <c r="Z224" s="21">
        <f>-0.81+9.54</f>
        <v>8.7299999999999986</v>
      </c>
      <c r="AA224" s="20">
        <v>-9.5399999999999991</v>
      </c>
      <c r="AB224" s="21"/>
      <c r="AC224" s="20"/>
      <c r="AD224" s="21"/>
      <c r="AE224" s="20"/>
      <c r="AF224" s="12" t="s">
        <v>503</v>
      </c>
      <c r="AG224" s="20">
        <f>820+27880+13080+9262.5+1235+1090</f>
        <v>53367.5</v>
      </c>
      <c r="AH224" s="20"/>
      <c r="AI224" s="12"/>
      <c r="AJ224" s="22"/>
      <c r="AK224" s="4"/>
      <c r="AL224" s="12">
        <f t="shared" si="22"/>
        <v>53367.5</v>
      </c>
      <c r="AM224" s="4"/>
    </row>
    <row r="225" spans="1:40" ht="75" x14ac:dyDescent="0.2">
      <c r="A225" s="19" t="s">
        <v>504</v>
      </c>
      <c r="B225" s="21" t="s">
        <v>505</v>
      </c>
      <c r="C225" s="21">
        <v>2230</v>
      </c>
      <c r="D225" s="12"/>
      <c r="E225" s="12"/>
      <c r="F225" s="12"/>
      <c r="G225" s="7"/>
      <c r="H225" s="12"/>
      <c r="I225" s="12"/>
      <c r="J225" s="12"/>
      <c r="K225" s="13"/>
      <c r="L225" s="13"/>
      <c r="M225" s="12"/>
      <c r="N225" s="12"/>
      <c r="O225" s="26"/>
      <c r="P225" s="12"/>
      <c r="Q225" s="12"/>
      <c r="R225" s="26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 t="s">
        <v>506</v>
      </c>
      <c r="AG225" s="12">
        <f>72000+58012.75</f>
        <v>130012.75</v>
      </c>
      <c r="AH225" s="12"/>
      <c r="AI225" s="12"/>
      <c r="AJ225" s="22"/>
      <c r="AK225" s="4"/>
      <c r="AL225" s="12">
        <f t="shared" si="22"/>
        <v>130012.75</v>
      </c>
    </row>
    <row r="226" spans="1:40" ht="61.5" customHeight="1" x14ac:dyDescent="0.2">
      <c r="A226" s="19" t="s">
        <v>507</v>
      </c>
      <c r="B226" s="21" t="s">
        <v>508</v>
      </c>
      <c r="C226" s="21">
        <v>2230</v>
      </c>
      <c r="D226" s="21">
        <f>1.15*12000+43200*1.15</f>
        <v>63479.999999999993</v>
      </c>
      <c r="E226" s="20"/>
      <c r="F226" s="21">
        <f t="shared" ref="F226:F243" si="26">D226+E226</f>
        <v>63479.999999999993</v>
      </c>
      <c r="G226" s="20"/>
      <c r="H226" s="21"/>
      <c r="I226" s="20"/>
      <c r="J226" s="21"/>
      <c r="K226" s="20"/>
      <c r="L226" s="21"/>
      <c r="M226" s="20"/>
      <c r="N226" s="21"/>
      <c r="O226" s="20"/>
      <c r="P226" s="21"/>
      <c r="Q226" s="20"/>
      <c r="R226" s="21"/>
      <c r="S226" s="20"/>
      <c r="T226" s="21"/>
      <c r="U226" s="20"/>
      <c r="V226" s="21"/>
      <c r="W226" s="20"/>
      <c r="X226" s="21">
        <v>-18518.52</v>
      </c>
      <c r="Y226" s="20"/>
      <c r="Z226" s="21"/>
      <c r="AA226" s="20">
        <v>-1.28</v>
      </c>
      <c r="AB226" s="21"/>
      <c r="AC226" s="20"/>
      <c r="AD226" s="21"/>
      <c r="AE226" s="20"/>
      <c r="AF226" s="12" t="s">
        <v>509</v>
      </c>
      <c r="AG226" s="20">
        <f>2088+66700</f>
        <v>68788</v>
      </c>
      <c r="AH226" s="20"/>
      <c r="AI226" s="12"/>
      <c r="AJ226" s="22"/>
      <c r="AK226" s="4"/>
      <c r="AL226" s="12">
        <f t="shared" si="22"/>
        <v>68788</v>
      </c>
      <c r="AM226" s="4"/>
    </row>
    <row r="227" spans="1:40" ht="75" x14ac:dyDescent="0.2">
      <c r="A227" s="19" t="s">
        <v>510</v>
      </c>
      <c r="B227" s="21" t="s">
        <v>511</v>
      </c>
      <c r="C227" s="21">
        <v>2230</v>
      </c>
      <c r="D227" s="21">
        <f>60*28.6+223*18+50*21.4+100*21.4</f>
        <v>8940</v>
      </c>
      <c r="E227" s="20"/>
      <c r="F227" s="21">
        <f t="shared" si="26"/>
        <v>8940</v>
      </c>
      <c r="G227" s="20"/>
      <c r="H227" s="21"/>
      <c r="I227" s="20"/>
      <c r="J227" s="21"/>
      <c r="K227" s="20"/>
      <c r="L227" s="21"/>
      <c r="M227" s="20"/>
      <c r="N227" s="21"/>
      <c r="O227" s="20"/>
      <c r="P227" s="21"/>
      <c r="Q227" s="20"/>
      <c r="R227" s="21"/>
      <c r="S227" s="20"/>
      <c r="T227" s="21"/>
      <c r="U227" s="20"/>
      <c r="V227" s="21"/>
      <c r="W227" s="20"/>
      <c r="X227" s="21">
        <v>-26.2</v>
      </c>
      <c r="Y227" s="20"/>
      <c r="Z227" s="21"/>
      <c r="AA227" s="20"/>
      <c r="AB227" s="21"/>
      <c r="AC227" s="20"/>
      <c r="AD227" s="21"/>
      <c r="AE227" s="20"/>
      <c r="AF227" s="12" t="s">
        <v>512</v>
      </c>
      <c r="AG227" s="20">
        <v>64500</v>
      </c>
      <c r="AH227" s="20"/>
      <c r="AI227" s="12"/>
      <c r="AJ227" s="22"/>
      <c r="AK227" s="4"/>
      <c r="AL227" s="12">
        <f t="shared" si="22"/>
        <v>64500</v>
      </c>
      <c r="AM227" s="4"/>
    </row>
    <row r="228" spans="1:40" ht="60" x14ac:dyDescent="0.2">
      <c r="A228" s="19" t="s">
        <v>513</v>
      </c>
      <c r="B228" s="21" t="s">
        <v>511</v>
      </c>
      <c r="C228" s="21">
        <v>2230</v>
      </c>
      <c r="D228" s="21">
        <f>60*28.6+223*18+50*21.4+100*21.4</f>
        <v>8940</v>
      </c>
      <c r="E228" s="20"/>
      <c r="F228" s="21">
        <f t="shared" si="26"/>
        <v>8940</v>
      </c>
      <c r="G228" s="20"/>
      <c r="H228" s="21"/>
      <c r="I228" s="20"/>
      <c r="J228" s="21"/>
      <c r="K228" s="20"/>
      <c r="L228" s="21"/>
      <c r="M228" s="20"/>
      <c r="N228" s="21"/>
      <c r="O228" s="20"/>
      <c r="P228" s="21"/>
      <c r="Q228" s="20"/>
      <c r="R228" s="21"/>
      <c r="S228" s="20"/>
      <c r="T228" s="21"/>
      <c r="U228" s="20"/>
      <c r="V228" s="21"/>
      <c r="W228" s="20"/>
      <c r="X228" s="21">
        <v>-26.2</v>
      </c>
      <c r="Y228" s="20"/>
      <c r="Z228" s="21"/>
      <c r="AA228" s="20"/>
      <c r="AB228" s="21"/>
      <c r="AC228" s="20"/>
      <c r="AD228" s="21"/>
      <c r="AE228" s="20"/>
      <c r="AF228" s="12" t="s">
        <v>514</v>
      </c>
      <c r="AG228" s="20">
        <f>848+9600</f>
        <v>10448</v>
      </c>
      <c r="AH228" s="20"/>
      <c r="AI228" s="12"/>
      <c r="AJ228" s="22"/>
      <c r="AK228" s="4"/>
      <c r="AL228" s="12">
        <f t="shared" si="22"/>
        <v>10448</v>
      </c>
      <c r="AM228" s="4"/>
    </row>
    <row r="229" spans="1:40" ht="60" x14ac:dyDescent="0.2">
      <c r="A229" s="19" t="s">
        <v>515</v>
      </c>
      <c r="B229" s="21" t="s">
        <v>511</v>
      </c>
      <c r="C229" s="21">
        <v>2230</v>
      </c>
      <c r="D229" s="21">
        <f>60*28.6+223*18+50*21.4+100*21.4</f>
        <v>8940</v>
      </c>
      <c r="E229" s="20"/>
      <c r="F229" s="21">
        <f t="shared" si="26"/>
        <v>8940</v>
      </c>
      <c r="G229" s="20"/>
      <c r="H229" s="21"/>
      <c r="I229" s="20"/>
      <c r="J229" s="21"/>
      <c r="K229" s="20"/>
      <c r="L229" s="21"/>
      <c r="M229" s="20"/>
      <c r="N229" s="21"/>
      <c r="O229" s="20"/>
      <c r="P229" s="21"/>
      <c r="Q229" s="20"/>
      <c r="R229" s="21"/>
      <c r="S229" s="20"/>
      <c r="T229" s="21"/>
      <c r="U229" s="20"/>
      <c r="V229" s="21"/>
      <c r="W229" s="20"/>
      <c r="X229" s="21">
        <v>-26.2</v>
      </c>
      <c r="Y229" s="20"/>
      <c r="Z229" s="21"/>
      <c r="AA229" s="20"/>
      <c r="AB229" s="21"/>
      <c r="AC229" s="20"/>
      <c r="AD229" s="21"/>
      <c r="AE229" s="20"/>
      <c r="AF229" s="12" t="s">
        <v>516</v>
      </c>
      <c r="AG229" s="20">
        <f>1540</f>
        <v>1540</v>
      </c>
      <c r="AH229" s="20"/>
      <c r="AI229" s="12"/>
      <c r="AJ229" s="22"/>
      <c r="AK229" s="4"/>
      <c r="AL229" s="12">
        <f t="shared" si="22"/>
        <v>1540</v>
      </c>
      <c r="AM229" s="4"/>
    </row>
    <row r="230" spans="1:40" ht="45" x14ac:dyDescent="0.2">
      <c r="A230" s="19" t="s">
        <v>517</v>
      </c>
      <c r="B230" s="21" t="s">
        <v>518</v>
      </c>
      <c r="C230" s="21">
        <v>2230</v>
      </c>
      <c r="D230" s="21">
        <f>536*16.6+1300*17.3</f>
        <v>31387.599999999999</v>
      </c>
      <c r="E230" s="20"/>
      <c r="F230" s="21">
        <f t="shared" si="26"/>
        <v>31387.599999999999</v>
      </c>
      <c r="G230" s="20"/>
      <c r="H230" s="21"/>
      <c r="I230" s="20"/>
      <c r="J230" s="21"/>
      <c r="K230" s="20"/>
      <c r="L230" s="21"/>
      <c r="M230" s="20"/>
      <c r="N230" s="21"/>
      <c r="O230" s="20"/>
      <c r="P230" s="21"/>
      <c r="Q230" s="20"/>
      <c r="R230" s="21"/>
      <c r="S230" s="20"/>
      <c r="T230" s="21"/>
      <c r="U230" s="20"/>
      <c r="V230" s="21"/>
      <c r="W230" s="20"/>
      <c r="X230" s="21">
        <v>-4.9000000000000004</v>
      </c>
      <c r="Y230" s="20"/>
      <c r="Z230" s="21">
        <v>-1.43</v>
      </c>
      <c r="AA230" s="20"/>
      <c r="AB230" s="21"/>
      <c r="AC230" s="20"/>
      <c r="AD230" s="21"/>
      <c r="AE230" s="20"/>
      <c r="AF230" s="12" t="s">
        <v>519</v>
      </c>
      <c r="AG230" s="20">
        <f>7600+38000</f>
        <v>45600</v>
      </c>
      <c r="AH230" s="20"/>
      <c r="AI230" s="12"/>
      <c r="AJ230" s="22"/>
      <c r="AK230" s="4"/>
      <c r="AL230" s="12">
        <f t="shared" si="22"/>
        <v>45600</v>
      </c>
      <c r="AM230" s="4"/>
    </row>
    <row r="231" spans="1:40" ht="71.25" customHeight="1" x14ac:dyDescent="0.2">
      <c r="A231" s="19" t="s">
        <v>520</v>
      </c>
      <c r="B231" s="21" t="s">
        <v>521</v>
      </c>
      <c r="C231" s="21">
        <v>2230</v>
      </c>
      <c r="D231" s="21">
        <f>5.1*2177.922+608*5+6380*5.3</f>
        <v>47961.402199999997</v>
      </c>
      <c r="E231" s="20"/>
      <c r="F231" s="21">
        <f t="shared" si="26"/>
        <v>47961.402199999997</v>
      </c>
      <c r="G231" s="20"/>
      <c r="H231" s="21"/>
      <c r="I231" s="20"/>
      <c r="J231" s="21"/>
      <c r="K231" s="20"/>
      <c r="L231" s="21"/>
      <c r="M231" s="20"/>
      <c r="N231" s="21"/>
      <c r="O231" s="20"/>
      <c r="P231" s="21"/>
      <c r="Q231" s="20"/>
      <c r="R231" s="21" t="s">
        <v>522</v>
      </c>
      <c r="S231" s="20"/>
      <c r="T231" s="21"/>
      <c r="U231" s="20"/>
      <c r="V231" s="21"/>
      <c r="W231" s="20"/>
      <c r="X231" s="21">
        <v>-6156</v>
      </c>
      <c r="Y231" s="20"/>
      <c r="Z231" s="21">
        <v>-4370</v>
      </c>
      <c r="AA231" s="20"/>
      <c r="AB231" s="21"/>
      <c r="AC231" s="20"/>
      <c r="AD231" s="21"/>
      <c r="AE231" s="20"/>
      <c r="AF231" s="12" t="s">
        <v>523</v>
      </c>
      <c r="AG231" s="20">
        <v>29000</v>
      </c>
      <c r="AH231" s="20"/>
      <c r="AI231" s="12"/>
      <c r="AJ231" s="22"/>
      <c r="AK231" s="4"/>
      <c r="AL231" s="12">
        <f t="shared" si="22"/>
        <v>29000</v>
      </c>
      <c r="AM231" s="4"/>
    </row>
    <row r="232" spans="1:40" ht="60.75" customHeight="1" x14ac:dyDescent="0.2">
      <c r="A232" s="19" t="s">
        <v>524</v>
      </c>
      <c r="B232" s="21" t="s">
        <v>511</v>
      </c>
      <c r="C232" s="21">
        <v>2230</v>
      </c>
      <c r="D232" s="21">
        <f>60*28.6+223*18+50*21.4+100*21.4</f>
        <v>8940</v>
      </c>
      <c r="E232" s="20"/>
      <c r="F232" s="21">
        <f t="shared" si="26"/>
        <v>8940</v>
      </c>
      <c r="G232" s="20"/>
      <c r="H232" s="21"/>
      <c r="I232" s="20"/>
      <c r="J232" s="21"/>
      <c r="K232" s="20"/>
      <c r="L232" s="21"/>
      <c r="M232" s="20"/>
      <c r="N232" s="21"/>
      <c r="O232" s="20"/>
      <c r="P232" s="21"/>
      <c r="Q232" s="20"/>
      <c r="R232" s="21"/>
      <c r="S232" s="20"/>
      <c r="T232" s="21"/>
      <c r="U232" s="20"/>
      <c r="V232" s="21"/>
      <c r="W232" s="20"/>
      <c r="X232" s="21">
        <v>-26.2</v>
      </c>
      <c r="Y232" s="20"/>
      <c r="Z232" s="21"/>
      <c r="AA232" s="20"/>
      <c r="AB232" s="21"/>
      <c r="AC232" s="20"/>
      <c r="AD232" s="21"/>
      <c r="AE232" s="20"/>
      <c r="AF232" s="12" t="s">
        <v>525</v>
      </c>
      <c r="AG232" s="20">
        <v>9000</v>
      </c>
      <c r="AH232" s="20"/>
      <c r="AI232" s="12"/>
      <c r="AJ232" s="22"/>
      <c r="AK232" s="4"/>
      <c r="AL232" s="12">
        <f t="shared" si="22"/>
        <v>9000</v>
      </c>
      <c r="AM232" s="24"/>
      <c r="AN232" s="24"/>
    </row>
    <row r="233" spans="1:40" ht="71.25" customHeight="1" x14ac:dyDescent="0.2">
      <c r="A233" s="19" t="s">
        <v>526</v>
      </c>
      <c r="B233" s="21" t="s">
        <v>527</v>
      </c>
      <c r="C233" s="21">
        <v>2230</v>
      </c>
      <c r="D233" s="21">
        <f>4.5*300+800*5</f>
        <v>5350</v>
      </c>
      <c r="E233" s="20"/>
      <c r="F233" s="21">
        <f t="shared" si="26"/>
        <v>5350</v>
      </c>
      <c r="G233" s="20"/>
      <c r="H233" s="21"/>
      <c r="I233" s="20"/>
      <c r="J233" s="21"/>
      <c r="K233" s="20"/>
      <c r="L233" s="21"/>
      <c r="M233" s="20"/>
      <c r="N233" s="21"/>
      <c r="O233" s="20"/>
      <c r="P233" s="21"/>
      <c r="Q233" s="20"/>
      <c r="R233" s="21"/>
      <c r="S233" s="20"/>
      <c r="T233" s="21"/>
      <c r="U233" s="20"/>
      <c r="V233" s="21"/>
      <c r="W233" s="20"/>
      <c r="X233" s="21"/>
      <c r="Y233" s="20"/>
      <c r="Z233" s="21"/>
      <c r="AA233" s="20"/>
      <c r="AB233" s="21"/>
      <c r="AC233" s="20"/>
      <c r="AD233" s="21"/>
      <c r="AE233" s="20"/>
      <c r="AF233" s="12" t="s">
        <v>528</v>
      </c>
      <c r="AG233" s="20">
        <f>2700+4050</f>
        <v>6750</v>
      </c>
      <c r="AH233" s="20"/>
      <c r="AI233" s="12"/>
      <c r="AJ233" s="22"/>
      <c r="AK233" s="4"/>
      <c r="AL233" s="12">
        <f t="shared" si="22"/>
        <v>6750</v>
      </c>
      <c r="AM233" s="4"/>
    </row>
    <row r="234" spans="1:40" ht="83.25" customHeight="1" x14ac:dyDescent="0.2">
      <c r="A234" s="19" t="s">
        <v>529</v>
      </c>
      <c r="B234" s="21" t="s">
        <v>530</v>
      </c>
      <c r="C234" s="21">
        <v>2230</v>
      </c>
      <c r="D234" s="21">
        <f>200*4.25+100*5.5+400*8.48+343*19.5+300*8.9+350*6.7+1500*10.9+100*20.5+800*9.8</f>
        <v>42735.5</v>
      </c>
      <c r="E234" s="20"/>
      <c r="F234" s="21">
        <f t="shared" si="26"/>
        <v>42735.5</v>
      </c>
      <c r="G234" s="20"/>
      <c r="H234" s="21"/>
      <c r="I234" s="20"/>
      <c r="J234" s="21"/>
      <c r="K234" s="20"/>
      <c r="L234" s="21"/>
      <c r="M234" s="20"/>
      <c r="N234" s="21"/>
      <c r="O234" s="20"/>
      <c r="P234" s="21"/>
      <c r="Q234" s="20"/>
      <c r="R234" s="21"/>
      <c r="S234" s="20"/>
      <c r="T234" s="21"/>
      <c r="U234" s="20"/>
      <c r="V234" s="21"/>
      <c r="W234" s="20"/>
      <c r="X234" s="21">
        <v>8554</v>
      </c>
      <c r="Y234" s="20"/>
      <c r="Z234" s="21">
        <f>0.5</f>
        <v>0.5</v>
      </c>
      <c r="AA234" s="20"/>
      <c r="AB234" s="21"/>
      <c r="AC234" s="20"/>
      <c r="AD234" s="21"/>
      <c r="AE234" s="20"/>
      <c r="AF234" s="12" t="s">
        <v>531</v>
      </c>
      <c r="AG234" s="20">
        <f>2800+2760+57563.75</f>
        <v>63123.75</v>
      </c>
      <c r="AH234" s="20"/>
      <c r="AI234" s="12"/>
      <c r="AJ234" s="22"/>
      <c r="AK234" s="4"/>
      <c r="AL234" s="12">
        <f t="shared" si="22"/>
        <v>63123.75</v>
      </c>
      <c r="AM234" s="4"/>
      <c r="AN234" s="3">
        <f>4080+8715</f>
        <v>12795</v>
      </c>
    </row>
    <row r="235" spans="1:40" ht="60" customHeight="1" x14ac:dyDescent="0.2">
      <c r="A235" s="19" t="s">
        <v>532</v>
      </c>
      <c r="B235" s="21" t="s">
        <v>530</v>
      </c>
      <c r="C235" s="21">
        <v>2230</v>
      </c>
      <c r="D235" s="21">
        <f>200*4.25+100*5.5+400*8.48+343*19.5+300*8.9+350*6.7+1500*10.9+100*20.5+800*9.8</f>
        <v>42735.5</v>
      </c>
      <c r="E235" s="20"/>
      <c r="F235" s="21">
        <f t="shared" si="26"/>
        <v>42735.5</v>
      </c>
      <c r="G235" s="20"/>
      <c r="H235" s="21"/>
      <c r="I235" s="20"/>
      <c r="J235" s="21"/>
      <c r="K235" s="20"/>
      <c r="L235" s="21"/>
      <c r="M235" s="20"/>
      <c r="N235" s="21"/>
      <c r="O235" s="20"/>
      <c r="P235" s="21"/>
      <c r="Q235" s="20"/>
      <c r="R235" s="21"/>
      <c r="S235" s="20"/>
      <c r="T235" s="21"/>
      <c r="U235" s="20"/>
      <c r="V235" s="21"/>
      <c r="W235" s="20"/>
      <c r="X235" s="21">
        <v>8554</v>
      </c>
      <c r="Y235" s="20"/>
      <c r="Z235" s="21">
        <f>0.5</f>
        <v>0.5</v>
      </c>
      <c r="AA235" s="20"/>
      <c r="AB235" s="21"/>
      <c r="AC235" s="20"/>
      <c r="AD235" s="21"/>
      <c r="AE235" s="20"/>
      <c r="AF235" s="12" t="s">
        <v>533</v>
      </c>
      <c r="AG235" s="20">
        <v>1840</v>
      </c>
      <c r="AH235" s="20"/>
      <c r="AI235" s="12"/>
      <c r="AJ235" s="22"/>
      <c r="AK235" s="4"/>
      <c r="AL235" s="12">
        <f t="shared" si="22"/>
        <v>1840</v>
      </c>
      <c r="AM235" s="4"/>
    </row>
    <row r="236" spans="1:40" ht="75.75" customHeight="1" x14ac:dyDescent="0.2">
      <c r="A236" s="19" t="s">
        <v>534</v>
      </c>
      <c r="B236" s="21" t="s">
        <v>535</v>
      </c>
      <c r="C236" s="21">
        <v>2230</v>
      </c>
      <c r="D236" s="21">
        <f>5.65*3600+5.48*810-3920+6954.75*5.65+1963.5*5.9</f>
        <v>71737.787500000006</v>
      </c>
      <c r="E236" s="20"/>
      <c r="F236" s="21">
        <f t="shared" si="26"/>
        <v>71737.787500000006</v>
      </c>
      <c r="G236" s="20"/>
      <c r="H236" s="21"/>
      <c r="I236" s="20"/>
      <c r="J236" s="21"/>
      <c r="K236" s="20"/>
      <c r="L236" s="21"/>
      <c r="M236" s="20"/>
      <c r="N236" s="21"/>
      <c r="O236" s="20"/>
      <c r="P236" s="21"/>
      <c r="Q236" s="20"/>
      <c r="R236" s="21"/>
      <c r="S236" s="20"/>
      <c r="T236" s="21"/>
      <c r="U236" s="20"/>
      <c r="V236" s="21"/>
      <c r="W236" s="20"/>
      <c r="X236" s="21"/>
      <c r="Y236" s="20"/>
      <c r="Z236" s="21"/>
      <c r="AA236" s="20">
        <v>10.82</v>
      </c>
      <c r="AB236" s="21">
        <v>-18891.25</v>
      </c>
      <c r="AC236" s="20">
        <f>139.87+18880.43</f>
        <v>19020.3</v>
      </c>
      <c r="AD236" s="21"/>
      <c r="AE236" s="20"/>
      <c r="AF236" s="12" t="s">
        <v>536</v>
      </c>
      <c r="AG236" s="20">
        <f>14960+4800+62800</f>
        <v>82560</v>
      </c>
      <c r="AH236" s="20"/>
      <c r="AI236" s="12"/>
      <c r="AJ236" s="22"/>
      <c r="AK236" s="4"/>
      <c r="AL236" s="12">
        <f t="shared" si="22"/>
        <v>82560</v>
      </c>
      <c r="AM236" s="4"/>
    </row>
    <row r="237" spans="1:40" ht="60" x14ac:dyDescent="0.2">
      <c r="A237" s="19" t="s">
        <v>537</v>
      </c>
      <c r="B237" s="21"/>
      <c r="C237" s="21">
        <v>2230</v>
      </c>
      <c r="D237" s="12"/>
      <c r="E237" s="12"/>
      <c r="F237" s="12"/>
      <c r="G237" s="7"/>
      <c r="H237" s="12"/>
      <c r="I237" s="12"/>
      <c r="J237" s="12"/>
      <c r="K237" s="13"/>
      <c r="L237" s="13"/>
      <c r="M237" s="12"/>
      <c r="N237" s="12"/>
      <c r="O237" s="26"/>
      <c r="P237" s="12"/>
      <c r="Q237" s="12"/>
      <c r="R237" s="26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 t="s">
        <v>538</v>
      </c>
      <c r="AG237" s="12">
        <v>1500</v>
      </c>
      <c r="AH237" s="12"/>
      <c r="AI237" s="12"/>
      <c r="AJ237" s="22"/>
      <c r="AK237" s="4"/>
      <c r="AL237" s="12">
        <f t="shared" si="22"/>
        <v>1500</v>
      </c>
    </row>
    <row r="238" spans="1:40" ht="60" x14ac:dyDescent="0.2">
      <c r="A238" s="19" t="s">
        <v>539</v>
      </c>
      <c r="B238" s="21" t="s">
        <v>540</v>
      </c>
      <c r="C238" s="21">
        <v>2230</v>
      </c>
      <c r="D238" s="21">
        <f>313.542*9.6+2000*9.75</f>
        <v>22510.003199999999</v>
      </c>
      <c r="E238" s="20"/>
      <c r="F238" s="21">
        <f t="shared" si="26"/>
        <v>22510.003199999999</v>
      </c>
      <c r="G238" s="20"/>
      <c r="H238" s="21"/>
      <c r="I238" s="20"/>
      <c r="J238" s="21"/>
      <c r="K238" s="20"/>
      <c r="L238" s="21"/>
      <c r="M238" s="20"/>
      <c r="N238" s="21"/>
      <c r="O238" s="20"/>
      <c r="P238" s="21"/>
      <c r="Q238" s="20"/>
      <c r="R238" s="21"/>
      <c r="S238" s="20"/>
      <c r="T238" s="21"/>
      <c r="U238" s="20"/>
      <c r="V238" s="21"/>
      <c r="W238" s="20"/>
      <c r="X238" s="21">
        <v>-200.5</v>
      </c>
      <c r="Y238" s="20"/>
      <c r="Z238" s="21"/>
      <c r="AA238" s="20"/>
      <c r="AB238" s="21"/>
      <c r="AC238" s="20"/>
      <c r="AD238" s="21"/>
      <c r="AE238" s="20"/>
      <c r="AF238" s="12" t="s">
        <v>541</v>
      </c>
      <c r="AG238" s="20">
        <f>6270+28500</f>
        <v>34770</v>
      </c>
      <c r="AH238" s="20"/>
      <c r="AI238" s="12"/>
      <c r="AJ238" s="22"/>
      <c r="AK238" s="4"/>
      <c r="AL238" s="12">
        <f t="shared" si="22"/>
        <v>34770</v>
      </c>
      <c r="AM238" s="4"/>
    </row>
    <row r="239" spans="1:40" ht="48" customHeight="1" x14ac:dyDescent="0.2">
      <c r="A239" s="19" t="s">
        <v>542</v>
      </c>
      <c r="B239" s="21" t="s">
        <v>543</v>
      </c>
      <c r="C239" s="21">
        <v>2230</v>
      </c>
      <c r="D239" s="21">
        <f>1*73.75+7*65</f>
        <v>528.75</v>
      </c>
      <c r="E239" s="20"/>
      <c r="F239" s="21">
        <f t="shared" si="26"/>
        <v>528.75</v>
      </c>
      <c r="G239" s="20"/>
      <c r="H239" s="21"/>
      <c r="I239" s="20"/>
      <c r="J239" s="21"/>
      <c r="K239" s="20"/>
      <c r="L239" s="21"/>
      <c r="M239" s="20"/>
      <c r="N239" s="21"/>
      <c r="O239" s="20"/>
      <c r="P239" s="21"/>
      <c r="Q239" s="20"/>
      <c r="R239" s="21"/>
      <c r="S239" s="20"/>
      <c r="T239" s="21"/>
      <c r="U239" s="20"/>
      <c r="V239" s="21"/>
      <c r="W239" s="20"/>
      <c r="X239" s="21"/>
      <c r="Y239" s="20">
        <v>260</v>
      </c>
      <c r="Z239" s="21">
        <v>-2.6</v>
      </c>
      <c r="AA239" s="20"/>
      <c r="AB239" s="21"/>
      <c r="AC239" s="20"/>
      <c r="AD239" s="21"/>
      <c r="AE239" s="20"/>
      <c r="AF239" s="12" t="s">
        <v>544</v>
      </c>
      <c r="AG239" s="20">
        <f>417+973</f>
        <v>1390</v>
      </c>
      <c r="AH239" s="20"/>
      <c r="AI239" s="12"/>
      <c r="AJ239" s="22"/>
      <c r="AK239" s="4"/>
      <c r="AL239" s="12">
        <f t="shared" si="22"/>
        <v>1390</v>
      </c>
      <c r="AM239" s="4"/>
    </row>
    <row r="240" spans="1:40" ht="101.25" customHeight="1" x14ac:dyDescent="0.2">
      <c r="A240" s="19" t="s">
        <v>545</v>
      </c>
      <c r="B240" s="21" t="s">
        <v>546</v>
      </c>
      <c r="C240" s="21">
        <v>2230</v>
      </c>
      <c r="D240" s="21">
        <f>50*3.2+100*24+104*3.45</f>
        <v>2918.8</v>
      </c>
      <c r="E240" s="20"/>
      <c r="F240" s="21">
        <f t="shared" si="26"/>
        <v>2918.8</v>
      </c>
      <c r="G240" s="20"/>
      <c r="H240" s="21"/>
      <c r="I240" s="20"/>
      <c r="J240" s="21"/>
      <c r="K240" s="20"/>
      <c r="L240" s="21"/>
      <c r="M240" s="20"/>
      <c r="N240" s="21"/>
      <c r="O240" s="20"/>
      <c r="P240" s="21"/>
      <c r="Q240" s="20"/>
      <c r="R240" s="21"/>
      <c r="S240" s="20"/>
      <c r="T240" s="21"/>
      <c r="U240" s="20"/>
      <c r="V240" s="21"/>
      <c r="W240" s="20"/>
      <c r="X240" s="21">
        <v>-3.4</v>
      </c>
      <c r="Y240" s="20"/>
      <c r="Z240" s="21"/>
      <c r="AA240" s="20"/>
      <c r="AB240" s="21"/>
      <c r="AC240" s="20"/>
      <c r="AD240" s="21"/>
      <c r="AE240" s="20"/>
      <c r="AF240" s="12" t="s">
        <v>547</v>
      </c>
      <c r="AG240" s="20">
        <f>380+1160</f>
        <v>1540</v>
      </c>
      <c r="AH240" s="20"/>
      <c r="AI240" s="12"/>
      <c r="AJ240" s="22"/>
      <c r="AK240" s="4"/>
      <c r="AL240" s="12">
        <f t="shared" si="22"/>
        <v>1540</v>
      </c>
      <c r="AM240" s="4"/>
    </row>
    <row r="241" spans="1:42" ht="60" x14ac:dyDescent="0.2">
      <c r="A241" s="19" t="s">
        <v>548</v>
      </c>
      <c r="B241" s="21"/>
      <c r="C241" s="21">
        <v>2230</v>
      </c>
      <c r="D241" s="12">
        <f>2.2*50+500*2.5</f>
        <v>1360</v>
      </c>
      <c r="E241" s="12"/>
      <c r="F241" s="12">
        <f t="shared" si="26"/>
        <v>1360</v>
      </c>
      <c r="G241" s="7"/>
      <c r="H241" s="12"/>
      <c r="I241" s="12"/>
      <c r="J241" s="12"/>
      <c r="K241" s="13"/>
      <c r="L241" s="13"/>
      <c r="M241" s="12"/>
      <c r="N241" s="12"/>
      <c r="O241" s="12"/>
      <c r="P241" s="12"/>
      <c r="Q241" s="12"/>
      <c r="R241" s="12"/>
      <c r="S241" s="12"/>
      <c r="T241" s="12">
        <v>-610</v>
      </c>
      <c r="U241" s="12"/>
      <c r="V241" s="12"/>
      <c r="W241" s="12"/>
      <c r="X241" s="12">
        <v>305</v>
      </c>
      <c r="Y241" s="12"/>
      <c r="Z241" s="12"/>
      <c r="AA241" s="12"/>
      <c r="AB241" s="12"/>
      <c r="AC241" s="12"/>
      <c r="AD241" s="12"/>
      <c r="AE241" s="12"/>
      <c r="AF241" s="12" t="s">
        <v>549</v>
      </c>
      <c r="AG241" s="12">
        <f>200+1363</f>
        <v>1563</v>
      </c>
      <c r="AH241" s="20"/>
      <c r="AI241" s="12"/>
      <c r="AJ241" s="22"/>
      <c r="AK241" s="4"/>
      <c r="AL241" s="12">
        <f t="shared" si="22"/>
        <v>1563</v>
      </c>
      <c r="AM241" s="4"/>
    </row>
    <row r="242" spans="1:42" ht="71.25" customHeight="1" x14ac:dyDescent="0.2">
      <c r="A242" s="19" t="s">
        <v>550</v>
      </c>
      <c r="B242" s="21" t="s">
        <v>49</v>
      </c>
      <c r="C242" s="21">
        <v>2230</v>
      </c>
      <c r="D242" s="12">
        <f>3*7.95+14*8</f>
        <v>135.85</v>
      </c>
      <c r="E242" s="12"/>
      <c r="F242" s="12">
        <f t="shared" si="26"/>
        <v>135.85</v>
      </c>
      <c r="G242" s="7"/>
      <c r="H242" s="12"/>
      <c r="I242" s="12"/>
      <c r="J242" s="12"/>
      <c r="K242" s="13"/>
      <c r="L242" s="13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>
        <v>37.85</v>
      </c>
      <c r="Y242" s="12"/>
      <c r="Z242" s="12"/>
      <c r="AA242" s="12"/>
      <c r="AB242" s="12"/>
      <c r="AC242" s="12"/>
      <c r="AD242" s="12"/>
      <c r="AE242" s="12"/>
      <c r="AF242" s="12" t="s">
        <v>551</v>
      </c>
      <c r="AG242" s="12">
        <f>50+175</f>
        <v>225</v>
      </c>
      <c r="AH242" s="12"/>
      <c r="AI242" s="12"/>
      <c r="AJ242" s="22"/>
      <c r="AK242" s="4"/>
      <c r="AL242" s="12">
        <f t="shared" si="22"/>
        <v>225</v>
      </c>
      <c r="AM242" s="4"/>
    </row>
    <row r="243" spans="1:42" ht="75" x14ac:dyDescent="0.2">
      <c r="A243" s="19" t="s">
        <v>552</v>
      </c>
      <c r="B243" s="21" t="s">
        <v>553</v>
      </c>
      <c r="C243" s="21">
        <v>2230</v>
      </c>
      <c r="D243" s="12">
        <f>10.8*60+133.5*10.8</f>
        <v>2089.8000000000002</v>
      </c>
      <c r="E243" s="12"/>
      <c r="F243" s="12">
        <f t="shared" si="26"/>
        <v>2089.8000000000002</v>
      </c>
      <c r="G243" s="7"/>
      <c r="H243" s="12"/>
      <c r="I243" s="12"/>
      <c r="J243" s="12"/>
      <c r="K243" s="13"/>
      <c r="L243" s="13"/>
      <c r="M243" s="12"/>
      <c r="N243" s="12"/>
      <c r="O243" s="12"/>
      <c r="P243" s="12"/>
      <c r="Q243" s="12"/>
      <c r="R243" s="12"/>
      <c r="S243" s="12"/>
      <c r="T243" s="12">
        <v>-1069.8</v>
      </c>
      <c r="U243" s="12"/>
      <c r="V243" s="12"/>
      <c r="W243" s="12"/>
      <c r="X243" s="12">
        <v>528</v>
      </c>
      <c r="Y243" s="12"/>
      <c r="Z243" s="12"/>
      <c r="AA243" s="12"/>
      <c r="AB243" s="12"/>
      <c r="AC243" s="12"/>
      <c r="AD243" s="12"/>
      <c r="AE243" s="12"/>
      <c r="AF243" s="12" t="s">
        <v>554</v>
      </c>
      <c r="AG243" s="12">
        <f>540+2340</f>
        <v>2880</v>
      </c>
      <c r="AH243" s="12"/>
      <c r="AI243" s="12"/>
      <c r="AJ243" s="22"/>
      <c r="AK243" s="4"/>
      <c r="AL243" s="12">
        <f t="shared" si="22"/>
        <v>2880</v>
      </c>
      <c r="AM243" s="4"/>
    </row>
    <row r="244" spans="1:42" ht="39.75" customHeight="1" x14ac:dyDescent="0.2">
      <c r="A244" s="35" t="s">
        <v>555</v>
      </c>
      <c r="B244" s="21"/>
      <c r="C244" s="21"/>
      <c r="D244" s="9">
        <v>600000</v>
      </c>
      <c r="E244" s="9">
        <f>74054.25</f>
        <v>74054.25</v>
      </c>
      <c r="F244" s="9">
        <f>SUM(F123:F243)</f>
        <v>3790758.9029000001</v>
      </c>
      <c r="G244" s="7"/>
      <c r="H244" s="12"/>
      <c r="I244" s="12"/>
      <c r="J244" s="12"/>
      <c r="K244" s="13"/>
      <c r="L244" s="13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9" t="s">
        <v>556</v>
      </c>
      <c r="AG244" s="9">
        <f>SUM(AG223:AG243)</f>
        <v>650000</v>
      </c>
      <c r="AH244" s="9"/>
      <c r="AI244" s="9"/>
      <c r="AJ244" s="22"/>
      <c r="AK244" s="4">
        <f>650000-AG244</f>
        <v>0</v>
      </c>
      <c r="AL244" s="12">
        <f t="shared" si="22"/>
        <v>650000</v>
      </c>
    </row>
    <row r="245" spans="1:42" ht="135" x14ac:dyDescent="0.2">
      <c r="A245" s="19" t="s">
        <v>557</v>
      </c>
      <c r="B245" s="21" t="s">
        <v>558</v>
      </c>
      <c r="C245" s="21">
        <v>2240</v>
      </c>
      <c r="D245" s="12"/>
      <c r="E245" s="26"/>
      <c r="F245" s="12"/>
      <c r="G245" s="12"/>
      <c r="H245" s="12"/>
      <c r="I245" s="12"/>
      <c r="J245" s="12">
        <v>20000</v>
      </c>
      <c r="K245" s="13"/>
      <c r="L245" s="13"/>
      <c r="M245" s="12"/>
      <c r="N245" s="12"/>
      <c r="O245" s="12"/>
      <c r="P245" s="12"/>
      <c r="Q245" s="12"/>
      <c r="R245" s="30">
        <v>2670</v>
      </c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 t="s">
        <v>559</v>
      </c>
      <c r="AG245" s="12">
        <f>600-210</f>
        <v>390</v>
      </c>
      <c r="AH245" s="28"/>
      <c r="AI245" s="12"/>
      <c r="AJ245" s="22"/>
      <c r="AK245" s="4">
        <v>390</v>
      </c>
      <c r="AL245" s="12">
        <f t="shared" si="22"/>
        <v>0</v>
      </c>
      <c r="AM245" s="4">
        <v>390</v>
      </c>
      <c r="AN245" s="12">
        <f>AM245-AG245</f>
        <v>0</v>
      </c>
    </row>
    <row r="246" spans="1:42" ht="75" x14ac:dyDescent="0.2">
      <c r="A246" s="19" t="s">
        <v>560</v>
      </c>
      <c r="B246" s="21" t="s">
        <v>558</v>
      </c>
      <c r="C246" s="21">
        <v>2240</v>
      </c>
      <c r="D246" s="12"/>
      <c r="E246" s="26"/>
      <c r="F246" s="12"/>
      <c r="G246" s="12"/>
      <c r="H246" s="12"/>
      <c r="I246" s="12"/>
      <c r="J246" s="12">
        <v>20000</v>
      </c>
      <c r="K246" s="13"/>
      <c r="L246" s="13"/>
      <c r="M246" s="12"/>
      <c r="N246" s="12"/>
      <c r="O246" s="12"/>
      <c r="P246" s="12"/>
      <c r="Q246" s="12"/>
      <c r="R246" s="30">
        <v>2670</v>
      </c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 t="s">
        <v>561</v>
      </c>
      <c r="AG246" s="12">
        <f>5425.32+5426-0.68</f>
        <v>10850.64</v>
      </c>
      <c r="AH246" s="28"/>
      <c r="AI246" s="12"/>
      <c r="AJ246" s="22" t="s">
        <v>562</v>
      </c>
      <c r="AK246" s="4">
        <f>5425.32+5425.32</f>
        <v>10850.64</v>
      </c>
      <c r="AL246" s="12">
        <f t="shared" si="22"/>
        <v>0</v>
      </c>
      <c r="AM246" s="4">
        <f>5425.32+5425.32</f>
        <v>10850.64</v>
      </c>
      <c r="AN246" s="12">
        <f t="shared" ref="AN246:AN272" si="27">AM246-AG246</f>
        <v>0</v>
      </c>
    </row>
    <row r="247" spans="1:42" s="23" customFormat="1" ht="88.5" customHeight="1" x14ac:dyDescent="0.2">
      <c r="A247" s="19" t="s">
        <v>563</v>
      </c>
      <c r="B247" s="21" t="s">
        <v>564</v>
      </c>
      <c r="C247" s="21">
        <v>2240</v>
      </c>
      <c r="D247" s="21">
        <v>2240</v>
      </c>
      <c r="E247" s="12"/>
      <c r="F247" s="26"/>
      <c r="G247" s="12"/>
      <c r="H247" s="27"/>
      <c r="I247" s="9"/>
      <c r="J247" s="12"/>
      <c r="K247" s="12"/>
      <c r="L247" s="13"/>
      <c r="M247" s="12"/>
      <c r="N247" s="12">
        <v>959.1</v>
      </c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 t="s">
        <v>565</v>
      </c>
      <c r="AG247" s="12">
        <f>367.72+620</f>
        <v>987.72</v>
      </c>
      <c r="AH247" s="12"/>
      <c r="AI247" s="12"/>
      <c r="AJ247" s="22"/>
      <c r="AK247" s="4">
        <f>367.72+620</f>
        <v>987.72</v>
      </c>
      <c r="AL247" s="12">
        <f t="shared" si="22"/>
        <v>0</v>
      </c>
      <c r="AM247" s="4">
        <f>620+367.72</f>
        <v>987.72</v>
      </c>
      <c r="AN247" s="12">
        <f t="shared" si="27"/>
        <v>0</v>
      </c>
      <c r="AO247" s="3"/>
      <c r="AP247" s="3"/>
    </row>
    <row r="248" spans="1:42" s="23" customFormat="1" ht="116.25" customHeight="1" x14ac:dyDescent="0.2">
      <c r="A248" s="19" t="s">
        <v>566</v>
      </c>
      <c r="B248" s="21" t="s">
        <v>564</v>
      </c>
      <c r="C248" s="21">
        <v>2240</v>
      </c>
      <c r="D248" s="21">
        <v>2240</v>
      </c>
      <c r="E248" s="12"/>
      <c r="F248" s="26"/>
      <c r="G248" s="12"/>
      <c r="H248" s="27"/>
      <c r="I248" s="9"/>
      <c r="J248" s="12"/>
      <c r="K248" s="12"/>
      <c r="L248" s="13"/>
      <c r="M248" s="12"/>
      <c r="N248" s="12">
        <v>959.1</v>
      </c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 t="s">
        <v>567</v>
      </c>
      <c r="AG248" s="12">
        <v>1680</v>
      </c>
      <c r="AH248" s="12"/>
      <c r="AI248" s="12"/>
      <c r="AJ248" s="22"/>
      <c r="AK248" s="4">
        <v>1680</v>
      </c>
      <c r="AL248" s="12">
        <f t="shared" si="22"/>
        <v>0</v>
      </c>
      <c r="AM248" s="4"/>
      <c r="AN248" s="12">
        <f t="shared" si="27"/>
        <v>-1680</v>
      </c>
      <c r="AO248" s="3"/>
      <c r="AP248" s="3"/>
    </row>
    <row r="249" spans="1:42" s="23" customFormat="1" ht="103.5" customHeight="1" x14ac:dyDescent="0.2">
      <c r="A249" s="19" t="s">
        <v>568</v>
      </c>
      <c r="B249" s="21" t="s">
        <v>564</v>
      </c>
      <c r="C249" s="21">
        <v>2240</v>
      </c>
      <c r="D249" s="21">
        <v>2240</v>
      </c>
      <c r="E249" s="12"/>
      <c r="F249" s="26"/>
      <c r="G249" s="12"/>
      <c r="H249" s="27"/>
      <c r="I249" s="9"/>
      <c r="J249" s="12"/>
      <c r="K249" s="12"/>
      <c r="L249" s="13"/>
      <c r="M249" s="12"/>
      <c r="N249" s="12">
        <v>959.1</v>
      </c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 t="s">
        <v>569</v>
      </c>
      <c r="AG249" s="12">
        <f>3396+1249+900</f>
        <v>5545</v>
      </c>
      <c r="AH249" s="12"/>
      <c r="AI249" s="12"/>
      <c r="AJ249" s="22"/>
      <c r="AK249" s="4">
        <f>3840+805+900</f>
        <v>5545</v>
      </c>
      <c r="AL249" s="12">
        <f t="shared" si="22"/>
        <v>0</v>
      </c>
      <c r="AM249" s="4">
        <f>3840+900+805</f>
        <v>5545</v>
      </c>
      <c r="AN249" s="12">
        <f t="shared" si="27"/>
        <v>0</v>
      </c>
      <c r="AO249" s="3"/>
      <c r="AP249" s="3"/>
    </row>
    <row r="250" spans="1:42" ht="105" x14ac:dyDescent="0.2">
      <c r="A250" s="19" t="s">
        <v>570</v>
      </c>
      <c r="B250" s="21" t="s">
        <v>564</v>
      </c>
      <c r="C250" s="21">
        <v>2240</v>
      </c>
      <c r="D250" s="12"/>
      <c r="E250" s="26"/>
      <c r="F250" s="12"/>
      <c r="G250" s="27"/>
      <c r="H250" s="9"/>
      <c r="I250" s="12"/>
      <c r="J250" s="12"/>
      <c r="K250" s="13"/>
      <c r="L250" s="12"/>
      <c r="M250" s="12">
        <v>959.1</v>
      </c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 t="s">
        <v>571</v>
      </c>
      <c r="AG250" s="12">
        <v>3606</v>
      </c>
      <c r="AH250" s="12"/>
      <c r="AI250" s="12"/>
      <c r="AJ250" s="22"/>
      <c r="AK250" s="4">
        <v>3606</v>
      </c>
      <c r="AL250" s="12">
        <f t="shared" si="22"/>
        <v>0</v>
      </c>
      <c r="AM250" s="4">
        <v>3606</v>
      </c>
      <c r="AN250" s="12">
        <f t="shared" si="27"/>
        <v>0</v>
      </c>
    </row>
    <row r="251" spans="1:42" ht="75" x14ac:dyDescent="0.2">
      <c r="A251" s="19" t="s">
        <v>572</v>
      </c>
      <c r="B251" s="21" t="s">
        <v>564</v>
      </c>
      <c r="C251" s="21">
        <v>2240</v>
      </c>
      <c r="D251" s="12"/>
      <c r="E251" s="26"/>
      <c r="F251" s="12"/>
      <c r="G251" s="27"/>
      <c r="H251" s="9"/>
      <c r="I251" s="12"/>
      <c r="J251" s="12"/>
      <c r="K251" s="13"/>
      <c r="L251" s="12"/>
      <c r="M251" s="12">
        <v>959.1</v>
      </c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 t="s">
        <v>573</v>
      </c>
      <c r="AG251" s="12">
        <f>3396+3840+2760+1666+3500+3998.3</f>
        <v>19160.3</v>
      </c>
      <c r="AH251" s="12"/>
      <c r="AI251" s="12"/>
      <c r="AJ251" s="22"/>
      <c r="AK251" s="4">
        <f>9996+4164.3</f>
        <v>14160.3</v>
      </c>
      <c r="AL251" s="12">
        <f t="shared" si="22"/>
        <v>5000</v>
      </c>
      <c r="AM251" s="4">
        <f>9996+4164.3</f>
        <v>14160.3</v>
      </c>
      <c r="AN251" s="12">
        <f t="shared" si="27"/>
        <v>-5000</v>
      </c>
      <c r="AO251" s="3">
        <f>5000-1002</f>
        <v>3998</v>
      </c>
      <c r="AP251" s="3">
        <f>14996+4164.3</f>
        <v>19160.3</v>
      </c>
    </row>
    <row r="252" spans="1:42" ht="90" x14ac:dyDescent="0.2">
      <c r="A252" s="19" t="s">
        <v>574</v>
      </c>
      <c r="B252" s="21" t="s">
        <v>564</v>
      </c>
      <c r="C252" s="21">
        <v>2240</v>
      </c>
      <c r="D252" s="12"/>
      <c r="E252" s="26"/>
      <c r="F252" s="12"/>
      <c r="G252" s="27"/>
      <c r="H252" s="9"/>
      <c r="I252" s="12"/>
      <c r="J252" s="12"/>
      <c r="K252" s="13"/>
      <c r="L252" s="12"/>
      <c r="M252" s="12">
        <v>959.1</v>
      </c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 t="s">
        <v>462</v>
      </c>
      <c r="AG252" s="12">
        <f>340-4</f>
        <v>336</v>
      </c>
      <c r="AH252" s="12"/>
      <c r="AI252" s="12"/>
      <c r="AJ252" s="22"/>
      <c r="AK252" s="4">
        <v>336</v>
      </c>
      <c r="AL252" s="12">
        <f t="shared" si="22"/>
        <v>0</v>
      </c>
      <c r="AM252" s="4">
        <v>336</v>
      </c>
      <c r="AN252" s="12">
        <f t="shared" si="27"/>
        <v>0</v>
      </c>
    </row>
    <row r="253" spans="1:42" s="23" customFormat="1" ht="75" x14ac:dyDescent="0.2">
      <c r="A253" s="19" t="s">
        <v>575</v>
      </c>
      <c r="B253" s="21" t="s">
        <v>564</v>
      </c>
      <c r="C253" s="21">
        <v>2240</v>
      </c>
      <c r="D253" s="21">
        <v>2240</v>
      </c>
      <c r="E253" s="12"/>
      <c r="F253" s="26"/>
      <c r="G253" s="12"/>
      <c r="H253" s="27"/>
      <c r="I253" s="9"/>
      <c r="J253" s="12"/>
      <c r="K253" s="12"/>
      <c r="L253" s="13"/>
      <c r="M253" s="12"/>
      <c r="N253" s="12">
        <v>959.1</v>
      </c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 t="s">
        <v>576</v>
      </c>
      <c r="AG253" s="12">
        <f>51000-9693.07-3129.6-5899.2</f>
        <v>32278.13</v>
      </c>
      <c r="AH253" s="12"/>
      <c r="AI253" s="12"/>
      <c r="AJ253" s="22" t="s">
        <v>577</v>
      </c>
      <c r="AK253" s="4"/>
      <c r="AL253" s="12">
        <f t="shared" si="22"/>
        <v>32278.13</v>
      </c>
      <c r="AM253" s="4"/>
      <c r="AN253" s="12">
        <f t="shared" si="27"/>
        <v>-32278.13</v>
      </c>
      <c r="AO253" s="3"/>
      <c r="AP253" s="3"/>
    </row>
    <row r="254" spans="1:42" ht="90" x14ac:dyDescent="0.2">
      <c r="A254" s="19" t="s">
        <v>578</v>
      </c>
      <c r="B254" s="12"/>
      <c r="C254" s="21">
        <v>2240</v>
      </c>
      <c r="D254" s="12"/>
      <c r="E254" s="26"/>
      <c r="F254" s="12"/>
      <c r="G254" s="27"/>
      <c r="H254" s="9"/>
      <c r="I254" s="12"/>
      <c r="J254" s="12"/>
      <c r="K254" s="13"/>
      <c r="L254" s="13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21" t="s">
        <v>579</v>
      </c>
      <c r="AG254" s="12">
        <v>7079</v>
      </c>
      <c r="AH254" s="12"/>
      <c r="AI254" s="12"/>
      <c r="AJ254" s="22"/>
      <c r="AK254" s="4">
        <v>7079</v>
      </c>
      <c r="AL254" s="12">
        <f t="shared" si="22"/>
        <v>0</v>
      </c>
      <c r="AM254" s="4">
        <v>7079</v>
      </c>
      <c r="AN254" s="12">
        <f t="shared" si="27"/>
        <v>0</v>
      </c>
    </row>
    <row r="255" spans="1:42" s="23" customFormat="1" ht="75" x14ac:dyDescent="0.2">
      <c r="A255" s="19" t="s">
        <v>580</v>
      </c>
      <c r="B255" s="21" t="s">
        <v>564</v>
      </c>
      <c r="C255" s="21">
        <v>2240</v>
      </c>
      <c r="D255" s="21">
        <v>2240</v>
      </c>
      <c r="E255" s="12"/>
      <c r="F255" s="26"/>
      <c r="G255" s="12"/>
      <c r="H255" s="27"/>
      <c r="I255" s="9"/>
      <c r="J255" s="12"/>
      <c r="K255" s="12"/>
      <c r="L255" s="13"/>
      <c r="M255" s="12"/>
      <c r="N255" s="12">
        <v>959.1</v>
      </c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 t="s">
        <v>581</v>
      </c>
      <c r="AG255" s="12">
        <f>1184+589.9</f>
        <v>1773.9</v>
      </c>
      <c r="AH255" s="12"/>
      <c r="AI255" s="12"/>
      <c r="AJ255" s="22"/>
      <c r="AK255" s="4">
        <v>1773.9</v>
      </c>
      <c r="AL255" s="12">
        <f t="shared" si="22"/>
        <v>0</v>
      </c>
      <c r="AM255" s="4">
        <v>1773.9</v>
      </c>
      <c r="AN255" s="12">
        <f t="shared" si="27"/>
        <v>0</v>
      </c>
      <c r="AO255" s="3"/>
      <c r="AP255" s="3"/>
    </row>
    <row r="256" spans="1:42" ht="105" x14ac:dyDescent="0.2">
      <c r="A256" s="19" t="s">
        <v>582</v>
      </c>
      <c r="B256" s="20"/>
      <c r="C256" s="21">
        <v>2240</v>
      </c>
      <c r="D256" s="20"/>
      <c r="E256" s="20"/>
      <c r="F256" s="12"/>
      <c r="G256" s="13"/>
      <c r="H256" s="12"/>
      <c r="I256" s="12"/>
      <c r="J256" s="12"/>
      <c r="K256" s="13"/>
      <c r="L256" s="13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21" t="s">
        <v>583</v>
      </c>
      <c r="AG256" s="12">
        <f>17696-4900.28+7758.96</f>
        <v>20554.68</v>
      </c>
      <c r="AH256" s="12"/>
      <c r="AI256" s="12"/>
      <c r="AJ256" s="22"/>
      <c r="AK256" s="4">
        <f>4080.72+8715+7758.96</f>
        <v>20554.68</v>
      </c>
      <c r="AL256" s="12">
        <f t="shared" si="22"/>
        <v>0</v>
      </c>
      <c r="AM256" s="4">
        <f>4080.72+8715+7758.96</f>
        <v>20554.68</v>
      </c>
      <c r="AN256" s="12">
        <f t="shared" si="27"/>
        <v>0</v>
      </c>
    </row>
    <row r="257" spans="1:42" ht="60" x14ac:dyDescent="0.2">
      <c r="A257" s="19" t="s">
        <v>584</v>
      </c>
      <c r="B257" s="21" t="s">
        <v>585</v>
      </c>
      <c r="C257" s="21">
        <v>2240</v>
      </c>
      <c r="D257" s="12">
        <v>6253</v>
      </c>
      <c r="E257" s="12">
        <v>11747</v>
      </c>
      <c r="F257" s="12">
        <f t="shared" ref="F257" si="28">D257+E257</f>
        <v>18000</v>
      </c>
      <c r="G257" s="7"/>
      <c r="H257" s="12"/>
      <c r="I257" s="12"/>
      <c r="J257" s="12"/>
      <c r="K257" s="13"/>
      <c r="L257" s="13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 t="s">
        <v>586</v>
      </c>
      <c r="AG257" s="12">
        <f>4470+11530+2201-2151.36-49.64</f>
        <v>16000</v>
      </c>
      <c r="AH257" s="12"/>
      <c r="AI257" s="12"/>
      <c r="AJ257" s="22"/>
      <c r="AK257" s="4">
        <f>4470+7127.09+4402.91</f>
        <v>16000</v>
      </c>
      <c r="AL257" s="12">
        <f t="shared" si="22"/>
        <v>0</v>
      </c>
      <c r="AM257" s="4">
        <f>4470+7127.09+4402.91</f>
        <v>16000</v>
      </c>
      <c r="AN257" s="12">
        <f t="shared" si="27"/>
        <v>0</v>
      </c>
    </row>
    <row r="258" spans="1:42" s="23" customFormat="1" ht="120" x14ac:dyDescent="0.2">
      <c r="A258" s="19" t="s">
        <v>587</v>
      </c>
      <c r="B258" s="21" t="s">
        <v>588</v>
      </c>
      <c r="C258" s="21">
        <v>2240</v>
      </c>
      <c r="D258" s="21">
        <v>2240</v>
      </c>
      <c r="E258" s="12"/>
      <c r="F258" s="12"/>
      <c r="G258" s="12"/>
      <c r="H258" s="7"/>
      <c r="I258" s="12"/>
      <c r="J258" s="12"/>
      <c r="K258" s="12"/>
      <c r="L258" s="13"/>
      <c r="M258" s="13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 t="s">
        <v>589</v>
      </c>
      <c r="AG258" s="12">
        <f>630+480+8800-7758.96-1041.04+900</f>
        <v>2010</v>
      </c>
      <c r="AH258" s="12"/>
      <c r="AI258" s="12"/>
      <c r="AJ258" s="29" t="s">
        <v>590</v>
      </c>
      <c r="AK258" s="4">
        <f>630+480</f>
        <v>1110</v>
      </c>
      <c r="AL258" s="12">
        <f t="shared" si="22"/>
        <v>900</v>
      </c>
      <c r="AM258" s="4">
        <f>630+480</f>
        <v>1110</v>
      </c>
      <c r="AN258" s="12">
        <f t="shared" si="27"/>
        <v>-900</v>
      </c>
      <c r="AO258" s="3"/>
      <c r="AP258" s="3"/>
    </row>
    <row r="259" spans="1:42" s="23" customFormat="1" ht="90" x14ac:dyDescent="0.2">
      <c r="A259" s="19" t="s">
        <v>591</v>
      </c>
      <c r="B259" s="21" t="s">
        <v>588</v>
      </c>
      <c r="C259" s="21">
        <v>2240</v>
      </c>
      <c r="D259" s="21">
        <v>2240</v>
      </c>
      <c r="E259" s="12"/>
      <c r="F259" s="12"/>
      <c r="G259" s="12"/>
      <c r="H259" s="7"/>
      <c r="I259" s="12"/>
      <c r="J259" s="12"/>
      <c r="K259" s="12"/>
      <c r="L259" s="13"/>
      <c r="M259" s="13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 t="s">
        <v>592</v>
      </c>
      <c r="AG259" s="12">
        <f>2596.5+7789.5+2597-2597</f>
        <v>10386</v>
      </c>
      <c r="AH259" s="12"/>
      <c r="AI259" s="12"/>
      <c r="AJ259" s="22"/>
      <c r="AK259" s="4">
        <f>2596.5+7789.5</f>
        <v>10386</v>
      </c>
      <c r="AL259" s="12">
        <f t="shared" si="22"/>
        <v>0</v>
      </c>
      <c r="AM259" s="4">
        <f>2596.5+7789.5</f>
        <v>10386</v>
      </c>
      <c r="AN259" s="12">
        <f t="shared" si="27"/>
        <v>0</v>
      </c>
      <c r="AO259" s="3"/>
      <c r="AP259" s="3"/>
    </row>
    <row r="260" spans="1:42" ht="120" x14ac:dyDescent="0.2">
      <c r="A260" s="19" t="s">
        <v>593</v>
      </c>
      <c r="B260" s="21" t="s">
        <v>594</v>
      </c>
      <c r="C260" s="21">
        <v>2240</v>
      </c>
      <c r="D260" s="12"/>
      <c r="E260" s="12"/>
      <c r="F260" s="12"/>
      <c r="G260" s="7"/>
      <c r="H260" s="12"/>
      <c r="I260" s="12"/>
      <c r="J260" s="12"/>
      <c r="K260" s="13"/>
      <c r="L260" s="13"/>
      <c r="M260" s="12"/>
      <c r="N260" s="12"/>
      <c r="O260" s="26"/>
      <c r="P260" s="12"/>
      <c r="Q260" s="12"/>
      <c r="R260" s="26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 t="s">
        <v>595</v>
      </c>
      <c r="AG260" s="12">
        <f>270+810</f>
        <v>1080</v>
      </c>
      <c r="AH260" s="12"/>
      <c r="AI260" s="12"/>
      <c r="AJ260" s="22"/>
      <c r="AK260" s="4">
        <v>1080</v>
      </c>
      <c r="AL260" s="12">
        <f t="shared" si="22"/>
        <v>0</v>
      </c>
      <c r="AM260" s="4">
        <v>1080</v>
      </c>
      <c r="AN260" s="12">
        <f t="shared" si="27"/>
        <v>0</v>
      </c>
    </row>
    <row r="261" spans="1:42" ht="120" x14ac:dyDescent="0.2">
      <c r="A261" s="19" t="s">
        <v>596</v>
      </c>
      <c r="B261" s="21" t="s">
        <v>594</v>
      </c>
      <c r="C261" s="21">
        <v>2240</v>
      </c>
      <c r="D261" s="12"/>
      <c r="E261" s="12"/>
      <c r="F261" s="12"/>
      <c r="G261" s="7"/>
      <c r="H261" s="12"/>
      <c r="I261" s="12"/>
      <c r="J261" s="12"/>
      <c r="K261" s="13"/>
      <c r="L261" s="13"/>
      <c r="M261" s="12"/>
      <c r="N261" s="12"/>
      <c r="O261" s="26"/>
      <c r="P261" s="12"/>
      <c r="Q261" s="12"/>
      <c r="R261" s="26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 t="s">
        <v>597</v>
      </c>
      <c r="AG261" s="12">
        <f>654+378</f>
        <v>1032</v>
      </c>
      <c r="AH261" s="12"/>
      <c r="AI261" s="12"/>
      <c r="AJ261" s="22"/>
      <c r="AK261" s="4">
        <v>1032</v>
      </c>
      <c r="AL261" s="12">
        <f t="shared" si="22"/>
        <v>0</v>
      </c>
      <c r="AM261" s="4">
        <v>1032</v>
      </c>
      <c r="AN261" s="12">
        <f t="shared" si="27"/>
        <v>0</v>
      </c>
    </row>
    <row r="262" spans="1:42" ht="75" x14ac:dyDescent="0.2">
      <c r="A262" s="19" t="s">
        <v>598</v>
      </c>
      <c r="B262" s="21" t="s">
        <v>599</v>
      </c>
      <c r="C262" s="21">
        <v>2240</v>
      </c>
      <c r="D262" s="12">
        <f>10000-89</f>
        <v>9911</v>
      </c>
      <c r="E262" s="12">
        <f>99600-10000+89</f>
        <v>89689</v>
      </c>
      <c r="F262" s="12">
        <f>D262+E262</f>
        <v>99600</v>
      </c>
      <c r="G262" s="7"/>
      <c r="H262" s="12"/>
      <c r="I262" s="12"/>
      <c r="J262" s="12"/>
      <c r="K262" s="13"/>
      <c r="L262" s="13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>
        <v>3185.48</v>
      </c>
      <c r="AC262" s="12"/>
      <c r="AD262" s="12"/>
      <c r="AE262" s="12"/>
      <c r="AF262" s="12" t="s">
        <v>600</v>
      </c>
      <c r="AG262" s="12">
        <f>8997.6+19942.4-378-2173.13+9632.28-14058.08+7000+2614.07-11370.14</f>
        <v>20207</v>
      </c>
      <c r="AH262" s="41"/>
      <c r="AI262" s="12"/>
      <c r="AJ262" s="22"/>
      <c r="AK262" s="4">
        <f>4160+6555+8997.6+276.41+217.99</f>
        <v>20207</v>
      </c>
      <c r="AL262" s="12">
        <f t="shared" si="22"/>
        <v>0</v>
      </c>
      <c r="AM262" s="4">
        <f>4160+6555+8997.6+276.41+217.99</f>
        <v>20207</v>
      </c>
      <c r="AN262" s="12">
        <f t="shared" si="27"/>
        <v>0</v>
      </c>
    </row>
    <row r="263" spans="1:42" ht="60" x14ac:dyDescent="0.2">
      <c r="A263" s="19" t="s">
        <v>601</v>
      </c>
      <c r="B263" s="21" t="s">
        <v>599</v>
      </c>
      <c r="C263" s="21">
        <v>2240</v>
      </c>
      <c r="D263" s="12">
        <f>10000-89</f>
        <v>9911</v>
      </c>
      <c r="E263" s="12">
        <f>99600-10000+89</f>
        <v>89689</v>
      </c>
      <c r="F263" s="12">
        <f>D263+E263</f>
        <v>99600</v>
      </c>
      <c r="G263" s="7"/>
      <c r="H263" s="12"/>
      <c r="I263" s="12"/>
      <c r="J263" s="12"/>
      <c r="K263" s="13"/>
      <c r="L263" s="13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>
        <v>3185.48</v>
      </c>
      <c r="AC263" s="12"/>
      <c r="AD263" s="12"/>
      <c r="AE263" s="12"/>
      <c r="AF263" s="12" t="s">
        <v>602</v>
      </c>
      <c r="AG263" s="12">
        <f>11370.14+754.79+219.31+2705+5842.98</f>
        <v>20892.22</v>
      </c>
      <c r="AH263" s="28"/>
      <c r="AI263" s="12"/>
      <c r="AJ263" s="22"/>
      <c r="AK263" s="4">
        <f>754.79+3236.1+1199.04+2704.54+6935+204.37+233.33+1265.4+2904+1050</f>
        <v>20486.570000000003</v>
      </c>
      <c r="AL263" s="12">
        <f t="shared" si="22"/>
        <v>405.64999999999782</v>
      </c>
      <c r="AM263" s="4">
        <f>754.79+3236.1+1199.04+204.37+6935+2704.54</f>
        <v>15033.84</v>
      </c>
      <c r="AN263" s="12">
        <f t="shared" si="27"/>
        <v>-5858.380000000001</v>
      </c>
    </row>
    <row r="264" spans="1:42" ht="60" x14ac:dyDescent="0.2">
      <c r="A264" s="19" t="s">
        <v>603</v>
      </c>
      <c r="B264" s="21" t="s">
        <v>599</v>
      </c>
      <c r="C264" s="21">
        <v>2240</v>
      </c>
      <c r="D264" s="12">
        <f>10000-89</f>
        <v>9911</v>
      </c>
      <c r="E264" s="12">
        <f>99600-10000+89</f>
        <v>89689</v>
      </c>
      <c r="F264" s="12">
        <f>D264+E264</f>
        <v>99600</v>
      </c>
      <c r="G264" s="7"/>
      <c r="H264" s="12"/>
      <c r="I264" s="12"/>
      <c r="J264" s="12"/>
      <c r="K264" s="13"/>
      <c r="L264" s="13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>
        <v>3185.48</v>
      </c>
      <c r="AC264" s="12"/>
      <c r="AD264" s="12"/>
      <c r="AE264" s="12"/>
      <c r="AF264" s="12" t="s">
        <v>604</v>
      </c>
      <c r="AG264" s="12">
        <v>1936</v>
      </c>
      <c r="AH264" s="28"/>
      <c r="AI264" s="12"/>
      <c r="AJ264" s="22"/>
      <c r="AK264" s="4">
        <v>1936</v>
      </c>
      <c r="AL264" s="12">
        <f t="shared" si="22"/>
        <v>0</v>
      </c>
      <c r="AM264" s="4">
        <v>1936</v>
      </c>
      <c r="AN264" s="12">
        <f t="shared" si="27"/>
        <v>0</v>
      </c>
    </row>
    <row r="265" spans="1:42" ht="75" x14ac:dyDescent="0.2">
      <c r="A265" s="19" t="s">
        <v>605</v>
      </c>
      <c r="B265" s="21" t="s">
        <v>606</v>
      </c>
      <c r="C265" s="21">
        <v>2240</v>
      </c>
      <c r="D265" s="12"/>
      <c r="E265" s="12"/>
      <c r="F265" s="12"/>
      <c r="G265" s="12"/>
      <c r="H265" s="12"/>
      <c r="I265" s="12"/>
      <c r="J265" s="12"/>
      <c r="K265" s="13"/>
      <c r="L265" s="13"/>
      <c r="M265" s="12"/>
      <c r="N265" s="12"/>
      <c r="O265" s="12"/>
      <c r="P265" s="26" t="s">
        <v>607</v>
      </c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 t="s">
        <v>608</v>
      </c>
      <c r="AG265" s="12">
        <f>2900+275.8+3241.8+3129.6</f>
        <v>9547.2000000000007</v>
      </c>
      <c r="AH265" s="28"/>
      <c r="AI265" s="12"/>
      <c r="AJ265" s="22" t="s">
        <v>609</v>
      </c>
      <c r="AK265" s="4">
        <f>3175.8+3241.8</f>
        <v>6417.6</v>
      </c>
      <c r="AL265" s="12">
        <f t="shared" si="22"/>
        <v>3129.6000000000004</v>
      </c>
      <c r="AM265" s="4">
        <f>3175.8+3241.8</f>
        <v>6417.6</v>
      </c>
      <c r="AN265" s="12">
        <f t="shared" si="27"/>
        <v>-3129.6000000000004</v>
      </c>
    </row>
    <row r="266" spans="1:42" ht="80.25" customHeight="1" x14ac:dyDescent="0.2">
      <c r="A266" s="19" t="s">
        <v>610</v>
      </c>
      <c r="B266" s="21" t="s">
        <v>606</v>
      </c>
      <c r="C266" s="21">
        <v>2240</v>
      </c>
      <c r="D266" s="12"/>
      <c r="E266" s="12"/>
      <c r="F266" s="12"/>
      <c r="G266" s="12"/>
      <c r="H266" s="12"/>
      <c r="I266" s="12"/>
      <c r="J266" s="12"/>
      <c r="K266" s="13"/>
      <c r="L266" s="13"/>
      <c r="M266" s="12"/>
      <c r="N266" s="12"/>
      <c r="O266" s="12"/>
      <c r="P266" s="26" t="s">
        <v>607</v>
      </c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 t="s">
        <v>611</v>
      </c>
      <c r="AG266" s="12">
        <v>5899.2</v>
      </c>
      <c r="AH266" s="28"/>
      <c r="AI266" s="12"/>
      <c r="AJ266" s="22" t="s">
        <v>612</v>
      </c>
      <c r="AK266" s="4">
        <f>1644.48</f>
        <v>1644.48</v>
      </c>
      <c r="AL266" s="12">
        <f t="shared" si="22"/>
        <v>4254.7199999999993</v>
      </c>
      <c r="AM266" s="4"/>
      <c r="AN266" s="12">
        <f t="shared" si="27"/>
        <v>-5899.2</v>
      </c>
    </row>
    <row r="267" spans="1:42" ht="80.25" customHeight="1" x14ac:dyDescent="0.2">
      <c r="A267" s="19" t="s">
        <v>613</v>
      </c>
      <c r="B267" s="21" t="s">
        <v>606</v>
      </c>
      <c r="C267" s="21">
        <v>2240</v>
      </c>
      <c r="D267" s="12"/>
      <c r="E267" s="12"/>
      <c r="F267" s="12"/>
      <c r="G267" s="12"/>
      <c r="H267" s="12"/>
      <c r="I267" s="12"/>
      <c r="J267" s="12"/>
      <c r="K267" s="13"/>
      <c r="L267" s="13"/>
      <c r="M267" s="12"/>
      <c r="N267" s="12"/>
      <c r="O267" s="12"/>
      <c r="P267" s="26" t="s">
        <v>607</v>
      </c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 t="s">
        <v>614</v>
      </c>
      <c r="AG267" s="12">
        <v>1645</v>
      </c>
      <c r="AH267" s="28"/>
      <c r="AI267" s="12"/>
      <c r="AJ267" s="22"/>
      <c r="AK267" s="4">
        <f>1644.48</f>
        <v>1644.48</v>
      </c>
      <c r="AL267" s="12">
        <f t="shared" si="22"/>
        <v>0.51999999999998181</v>
      </c>
      <c r="AM267" s="4"/>
      <c r="AN267" s="12">
        <f t="shared" si="27"/>
        <v>-1645</v>
      </c>
    </row>
    <row r="268" spans="1:42" s="23" customFormat="1" ht="80.25" customHeight="1" x14ac:dyDescent="0.2">
      <c r="A268" s="19" t="s">
        <v>615</v>
      </c>
      <c r="B268" s="20" t="s">
        <v>616</v>
      </c>
      <c r="C268" s="21">
        <v>2240</v>
      </c>
      <c r="D268" s="21">
        <v>2240</v>
      </c>
      <c r="E268" s="12"/>
      <c r="F268" s="12">
        <v>6000</v>
      </c>
      <c r="G268" s="12">
        <f>E268+F268</f>
        <v>6000</v>
      </c>
      <c r="H268" s="7"/>
      <c r="I268" s="12"/>
      <c r="J268" s="12"/>
      <c r="K268" s="12"/>
      <c r="L268" s="13"/>
      <c r="M268" s="13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 t="s">
        <v>617</v>
      </c>
      <c r="AG268" s="12">
        <v>764.64</v>
      </c>
      <c r="AH268" s="12"/>
      <c r="AI268" s="12"/>
      <c r="AJ268" s="22"/>
      <c r="AK268" s="4">
        <v>764.64</v>
      </c>
      <c r="AL268" s="12">
        <f t="shared" si="22"/>
        <v>0</v>
      </c>
      <c r="AM268" s="4">
        <v>764.64</v>
      </c>
      <c r="AN268" s="12">
        <f t="shared" si="27"/>
        <v>0</v>
      </c>
      <c r="AO268" s="3"/>
      <c r="AP268" s="3"/>
    </row>
    <row r="269" spans="1:42" s="23" customFormat="1" ht="75" x14ac:dyDescent="0.2">
      <c r="A269" s="19" t="s">
        <v>618</v>
      </c>
      <c r="B269" s="20" t="s">
        <v>616</v>
      </c>
      <c r="C269" s="21">
        <v>2240</v>
      </c>
      <c r="D269" s="21">
        <v>2240</v>
      </c>
      <c r="E269" s="12"/>
      <c r="F269" s="12">
        <v>6000</v>
      </c>
      <c r="G269" s="12">
        <f t="shared" ref="G269:G271" si="29">E269+F269</f>
        <v>6000</v>
      </c>
      <c r="H269" s="7"/>
      <c r="I269" s="12"/>
      <c r="J269" s="12"/>
      <c r="K269" s="12"/>
      <c r="L269" s="13"/>
      <c r="M269" s="13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 t="s">
        <v>619</v>
      </c>
      <c r="AG269" s="12">
        <v>335.36</v>
      </c>
      <c r="AH269" s="12"/>
      <c r="AI269" s="12"/>
      <c r="AJ269" s="22"/>
      <c r="AK269" s="4"/>
      <c r="AL269" s="12">
        <f t="shared" si="22"/>
        <v>335.36</v>
      </c>
      <c r="AM269" s="4"/>
      <c r="AN269" s="12">
        <f t="shared" si="27"/>
        <v>-335.36</v>
      </c>
      <c r="AO269" s="3"/>
      <c r="AP269" s="3"/>
    </row>
    <row r="270" spans="1:42" s="23" customFormat="1" ht="75" x14ac:dyDescent="0.2">
      <c r="A270" s="19" t="s">
        <v>620</v>
      </c>
      <c r="B270" s="20" t="s">
        <v>616</v>
      </c>
      <c r="C270" s="21">
        <v>2240</v>
      </c>
      <c r="D270" s="21">
        <v>2240</v>
      </c>
      <c r="E270" s="12"/>
      <c r="F270" s="12">
        <v>6000</v>
      </c>
      <c r="G270" s="12">
        <f t="shared" si="29"/>
        <v>6000</v>
      </c>
      <c r="H270" s="7"/>
      <c r="I270" s="12"/>
      <c r="J270" s="12"/>
      <c r="K270" s="12"/>
      <c r="L270" s="13"/>
      <c r="M270" s="13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 t="s">
        <v>621</v>
      </c>
      <c r="AG270" s="12">
        <v>1596.06</v>
      </c>
      <c r="AH270" s="12"/>
      <c r="AI270" s="12"/>
      <c r="AJ270" s="22"/>
      <c r="AK270" s="4">
        <v>1596.06</v>
      </c>
      <c r="AL270" s="12">
        <f t="shared" ref="AL270:AL305" si="30">AG270-AK270</f>
        <v>0</v>
      </c>
      <c r="AM270" s="4">
        <v>1596.06</v>
      </c>
      <c r="AN270" s="12">
        <f t="shared" si="27"/>
        <v>0</v>
      </c>
      <c r="AO270" s="3"/>
      <c r="AP270" s="3"/>
    </row>
    <row r="271" spans="1:42" s="23" customFormat="1" ht="75" x14ac:dyDescent="0.2">
      <c r="A271" s="19" t="s">
        <v>622</v>
      </c>
      <c r="B271" s="20" t="s">
        <v>616</v>
      </c>
      <c r="C271" s="21">
        <v>2240</v>
      </c>
      <c r="D271" s="21">
        <v>2240</v>
      </c>
      <c r="E271" s="12"/>
      <c r="F271" s="12">
        <v>6000</v>
      </c>
      <c r="G271" s="12">
        <f t="shared" si="29"/>
        <v>6000</v>
      </c>
      <c r="H271" s="7"/>
      <c r="I271" s="12"/>
      <c r="J271" s="12"/>
      <c r="K271" s="12"/>
      <c r="L271" s="13"/>
      <c r="M271" s="13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 t="s">
        <v>623</v>
      </c>
      <c r="AG271" s="12">
        <v>1075.51</v>
      </c>
      <c r="AH271" s="12"/>
      <c r="AI271" s="12"/>
      <c r="AJ271" s="22"/>
      <c r="AK271" s="4">
        <f>552.5+523.01</f>
        <v>1075.51</v>
      </c>
      <c r="AL271" s="12">
        <f t="shared" si="30"/>
        <v>0</v>
      </c>
      <c r="AM271" s="4">
        <f>552.5+523.01</f>
        <v>1075.51</v>
      </c>
      <c r="AN271" s="12">
        <f t="shared" si="27"/>
        <v>0</v>
      </c>
      <c r="AO271" s="3"/>
      <c r="AP271" s="3"/>
    </row>
    <row r="272" spans="1:42" ht="105" x14ac:dyDescent="0.2">
      <c r="A272" s="19" t="s">
        <v>624</v>
      </c>
      <c r="B272" s="21" t="s">
        <v>625</v>
      </c>
      <c r="C272" s="21">
        <v>2240</v>
      </c>
      <c r="D272" s="12"/>
      <c r="E272" s="12">
        <v>14300</v>
      </c>
      <c r="F272" s="12">
        <f>D272+E272</f>
        <v>14300</v>
      </c>
      <c r="G272" s="7"/>
      <c r="H272" s="12"/>
      <c r="I272" s="12">
        <v>6802.21</v>
      </c>
      <c r="J272" s="12">
        <v>5131.8100000000004</v>
      </c>
      <c r="K272" s="13"/>
      <c r="L272" s="13"/>
      <c r="M272" s="12">
        <v>3357.55</v>
      </c>
      <c r="N272" s="12"/>
      <c r="O272" s="26" t="s">
        <v>626</v>
      </c>
      <c r="P272" s="12"/>
      <c r="Q272" s="12"/>
      <c r="R272" s="26" t="s">
        <v>627</v>
      </c>
      <c r="S272" s="12"/>
      <c r="T272" s="12"/>
      <c r="U272" s="12"/>
      <c r="V272" s="12"/>
      <c r="W272" s="12">
        <v>15009.44</v>
      </c>
      <c r="X272" s="12">
        <v>3544</v>
      </c>
      <c r="Y272" s="12"/>
      <c r="Z272" s="12">
        <v>4322</v>
      </c>
      <c r="AA272" s="12">
        <f>4600-354.4</f>
        <v>4245.6000000000004</v>
      </c>
      <c r="AB272" s="12">
        <v>5000</v>
      </c>
      <c r="AC272" s="12"/>
      <c r="AD272" s="12"/>
      <c r="AE272" s="12"/>
      <c r="AF272" s="12" t="s">
        <v>628</v>
      </c>
      <c r="AG272" s="12">
        <f>3990+2175+3350+1400</f>
        <v>10915</v>
      </c>
      <c r="AH272" s="12"/>
      <c r="AI272" s="12"/>
      <c r="AJ272" s="22" t="s">
        <v>629</v>
      </c>
      <c r="AK272" s="4">
        <v>9515</v>
      </c>
      <c r="AL272" s="12">
        <f t="shared" si="30"/>
        <v>1400</v>
      </c>
      <c r="AM272" s="4">
        <v>9515</v>
      </c>
      <c r="AN272" s="12">
        <f t="shared" si="27"/>
        <v>-1400</v>
      </c>
    </row>
    <row r="273" spans="1:42" ht="75" x14ac:dyDescent="0.2">
      <c r="A273" s="19" t="s">
        <v>630</v>
      </c>
      <c r="B273" s="21" t="s">
        <v>625</v>
      </c>
      <c r="C273" s="21">
        <v>2240</v>
      </c>
      <c r="D273" s="12"/>
      <c r="E273" s="12">
        <v>14300</v>
      </c>
      <c r="F273" s="12">
        <f t="shared" ref="F273" si="31">D273+E273</f>
        <v>14300</v>
      </c>
      <c r="G273" s="7"/>
      <c r="H273" s="12"/>
      <c r="I273" s="12">
        <v>6802.21</v>
      </c>
      <c r="J273" s="12">
        <v>5131.8100000000004</v>
      </c>
      <c r="K273" s="13"/>
      <c r="L273" s="13"/>
      <c r="M273" s="12">
        <v>3357.55</v>
      </c>
      <c r="N273" s="12"/>
      <c r="O273" s="26" t="s">
        <v>626</v>
      </c>
      <c r="P273" s="12"/>
      <c r="Q273" s="12"/>
      <c r="R273" s="26" t="s">
        <v>627</v>
      </c>
      <c r="S273" s="12"/>
      <c r="T273" s="12"/>
      <c r="U273" s="12"/>
      <c r="V273" s="12"/>
      <c r="W273" s="12">
        <v>15009.44</v>
      </c>
      <c r="X273" s="12">
        <v>3544</v>
      </c>
      <c r="Y273" s="12"/>
      <c r="Z273" s="12">
        <v>4322</v>
      </c>
      <c r="AA273" s="12">
        <f>4600-354.4</f>
        <v>4245.6000000000004</v>
      </c>
      <c r="AB273" s="12">
        <v>5000</v>
      </c>
      <c r="AC273" s="12"/>
      <c r="AD273" s="12"/>
      <c r="AE273" s="12"/>
      <c r="AF273" s="12" t="s">
        <v>631</v>
      </c>
      <c r="AG273" s="12">
        <f>5434+4205+5761+5112+4389+4748.36+6467.08+2647</f>
        <v>38763.440000000002</v>
      </c>
      <c r="AH273" s="12"/>
      <c r="AI273" s="12"/>
      <c r="AJ273" s="22" t="s">
        <v>632</v>
      </c>
      <c r="AK273" s="42">
        <f>31309.94+4806.5</f>
        <v>36116.44</v>
      </c>
      <c r="AL273" s="12">
        <f t="shared" si="30"/>
        <v>2647</v>
      </c>
      <c r="AM273" s="42">
        <f>24842.86+4806.5</f>
        <v>29649.360000000001</v>
      </c>
      <c r="AN273" s="12">
        <f t="shared" ref="AN273:AN274" si="32">AI273-AM273</f>
        <v>-29649.360000000001</v>
      </c>
    </row>
    <row r="274" spans="1:42" ht="57" x14ac:dyDescent="0.2">
      <c r="A274" s="35" t="s">
        <v>633</v>
      </c>
      <c r="B274" s="21"/>
      <c r="C274" s="21"/>
      <c r="D274" s="9">
        <f>SUM(D245:D267)</f>
        <v>51666</v>
      </c>
      <c r="E274" s="9">
        <f>SUM(E245:E267)</f>
        <v>280814</v>
      </c>
      <c r="F274" s="9">
        <f>SUM(F245:F267)</f>
        <v>316800</v>
      </c>
      <c r="G274" s="7"/>
      <c r="H274" s="12"/>
      <c r="I274" s="12"/>
      <c r="J274" s="12"/>
      <c r="K274" s="13"/>
      <c r="L274" s="13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9" t="s">
        <v>634</v>
      </c>
      <c r="AG274" s="9">
        <f>SUM(AG245:AG273)</f>
        <v>248326.00000000003</v>
      </c>
      <c r="AH274" s="9"/>
      <c r="AI274" s="12"/>
      <c r="AJ274" s="22" t="s">
        <v>635</v>
      </c>
      <c r="AK274" s="43">
        <f>SUM(AK245:AK273)</f>
        <v>197975.02000000005</v>
      </c>
      <c r="AL274" s="12">
        <f t="shared" si="30"/>
        <v>50350.979999999981</v>
      </c>
      <c r="AM274" s="43">
        <f>SUM(AM245:AM273)</f>
        <v>181086.25000000006</v>
      </c>
      <c r="AN274" s="12">
        <f t="shared" si="32"/>
        <v>-181086.25000000006</v>
      </c>
      <c r="AO274" s="3">
        <f>23.4+105+24.35+175+35+105</f>
        <v>467.75</v>
      </c>
      <c r="AP274" s="44">
        <f>AK274+AO274</f>
        <v>198442.77000000005</v>
      </c>
    </row>
    <row r="275" spans="1:42" ht="60" x14ac:dyDescent="0.2">
      <c r="A275" s="19" t="s">
        <v>636</v>
      </c>
      <c r="B275" s="12" t="s">
        <v>637</v>
      </c>
      <c r="C275" s="21">
        <v>2250</v>
      </c>
      <c r="D275" s="12"/>
      <c r="E275" s="26"/>
      <c r="F275" s="12">
        <f>D275+E275</f>
        <v>0</v>
      </c>
      <c r="G275" s="27"/>
      <c r="H275" s="12"/>
      <c r="I275" s="12"/>
      <c r="J275" s="12">
        <v>1000</v>
      </c>
      <c r="K275" s="13"/>
      <c r="L275" s="13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 t="s">
        <v>638</v>
      </c>
      <c r="AG275" s="12">
        <f>650+1600</f>
        <v>2250</v>
      </c>
      <c r="AH275" s="12"/>
      <c r="AI275" s="12"/>
      <c r="AJ275" s="22"/>
      <c r="AK275" s="42"/>
      <c r="AL275" s="12">
        <f t="shared" si="30"/>
        <v>2250</v>
      </c>
      <c r="AM275" s="24"/>
    </row>
    <row r="276" spans="1:42" ht="53.25" customHeight="1" x14ac:dyDescent="0.2">
      <c r="A276" s="35" t="s">
        <v>639</v>
      </c>
      <c r="B276" s="12"/>
      <c r="C276" s="21"/>
      <c r="D276" s="9">
        <f t="shared" ref="D276:Z276" si="33">SUM(D245:D267)</f>
        <v>51666</v>
      </c>
      <c r="E276" s="9">
        <f t="shared" si="33"/>
        <v>280814</v>
      </c>
      <c r="F276" s="9">
        <f t="shared" si="33"/>
        <v>316800</v>
      </c>
      <c r="G276" s="9">
        <f t="shared" si="33"/>
        <v>0</v>
      </c>
      <c r="H276" s="9">
        <f t="shared" si="33"/>
        <v>0</v>
      </c>
      <c r="I276" s="9">
        <f t="shared" si="33"/>
        <v>0</v>
      </c>
      <c r="J276" s="9">
        <f t="shared" si="33"/>
        <v>40000</v>
      </c>
      <c r="K276" s="9">
        <f t="shared" si="33"/>
        <v>0</v>
      </c>
      <c r="L276" s="9">
        <f t="shared" si="33"/>
        <v>0</v>
      </c>
      <c r="M276" s="9">
        <f t="shared" si="33"/>
        <v>2877.3</v>
      </c>
      <c r="N276" s="9">
        <f t="shared" si="33"/>
        <v>4795.5</v>
      </c>
      <c r="O276" s="9">
        <f t="shared" si="33"/>
        <v>0</v>
      </c>
      <c r="P276" s="9">
        <f t="shared" si="33"/>
        <v>0</v>
      </c>
      <c r="Q276" s="9">
        <f t="shared" si="33"/>
        <v>0</v>
      </c>
      <c r="R276" s="9">
        <f t="shared" si="33"/>
        <v>5340</v>
      </c>
      <c r="S276" s="9">
        <f t="shared" si="33"/>
        <v>0</v>
      </c>
      <c r="T276" s="9">
        <f t="shared" si="33"/>
        <v>0</v>
      </c>
      <c r="U276" s="9">
        <f t="shared" si="33"/>
        <v>0</v>
      </c>
      <c r="V276" s="9">
        <f t="shared" si="33"/>
        <v>0</v>
      </c>
      <c r="W276" s="9">
        <f t="shared" si="33"/>
        <v>0</v>
      </c>
      <c r="X276" s="9">
        <f t="shared" si="33"/>
        <v>0</v>
      </c>
      <c r="Y276" s="9">
        <f t="shared" si="33"/>
        <v>0</v>
      </c>
      <c r="Z276" s="9">
        <f t="shared" si="33"/>
        <v>0</v>
      </c>
      <c r="AA276" s="12"/>
      <c r="AB276" s="12"/>
      <c r="AC276" s="12"/>
      <c r="AD276" s="12"/>
      <c r="AE276" s="12"/>
      <c r="AF276" s="9" t="s">
        <v>638</v>
      </c>
      <c r="AG276" s="9">
        <f>SUM(AG275)</f>
        <v>2250</v>
      </c>
      <c r="AH276" s="9"/>
      <c r="AI276" s="12"/>
      <c r="AJ276" s="45"/>
      <c r="AK276" s="42"/>
      <c r="AL276" s="12">
        <f t="shared" si="30"/>
        <v>2250</v>
      </c>
      <c r="AM276" s="24"/>
    </row>
    <row r="277" spans="1:42" ht="75" x14ac:dyDescent="0.2">
      <c r="A277" s="19" t="s">
        <v>640</v>
      </c>
      <c r="B277" s="21" t="s">
        <v>641</v>
      </c>
      <c r="C277" s="21">
        <v>2272</v>
      </c>
      <c r="D277" s="12"/>
      <c r="E277" s="12"/>
      <c r="F277" s="12"/>
      <c r="G277" s="7"/>
      <c r="H277" s="12"/>
      <c r="I277" s="12"/>
      <c r="J277" s="12"/>
      <c r="K277" s="13"/>
      <c r="L277" s="13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>
        <v>2547.41</v>
      </c>
      <c r="AB277" s="12"/>
      <c r="AC277" s="12"/>
      <c r="AD277" s="12"/>
      <c r="AE277" s="12"/>
      <c r="AF277" s="12" t="s">
        <v>642</v>
      </c>
      <c r="AG277" s="12">
        <f>14500+41800</f>
        <v>56300</v>
      </c>
      <c r="AH277" s="12"/>
      <c r="AI277" s="12"/>
      <c r="AJ277" s="45"/>
      <c r="AK277" s="42"/>
      <c r="AL277" s="12">
        <f t="shared" si="30"/>
        <v>56300</v>
      </c>
    </row>
    <row r="278" spans="1:42" ht="75" x14ac:dyDescent="0.2">
      <c r="A278" s="19" t="s">
        <v>643</v>
      </c>
      <c r="B278" s="27" t="s">
        <v>644</v>
      </c>
      <c r="C278" s="21">
        <v>2272</v>
      </c>
      <c r="D278" s="12"/>
      <c r="E278" s="12"/>
      <c r="F278" s="12"/>
      <c r="G278" s="7"/>
      <c r="H278" s="12"/>
      <c r="I278" s="12"/>
      <c r="J278" s="12"/>
      <c r="K278" s="13"/>
      <c r="L278" s="13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 t="s">
        <v>645</v>
      </c>
      <c r="AG278" s="12">
        <f>14000+54800</f>
        <v>68800</v>
      </c>
      <c r="AH278" s="12"/>
      <c r="AI278" s="12"/>
      <c r="AJ278" s="46"/>
      <c r="AK278" s="47"/>
      <c r="AL278" s="12">
        <f t="shared" si="30"/>
        <v>68800</v>
      </c>
    </row>
    <row r="279" spans="1:42" ht="42.75" x14ac:dyDescent="0.2">
      <c r="A279" s="35" t="s">
        <v>646</v>
      </c>
      <c r="B279" s="48"/>
      <c r="C279" s="8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 t="s">
        <v>647</v>
      </c>
      <c r="AG279" s="9">
        <f>SUM(AG277:AG278)</f>
        <v>125100</v>
      </c>
      <c r="AH279" s="9"/>
      <c r="AI279" s="12"/>
      <c r="AJ279" s="22"/>
      <c r="AK279" s="4"/>
      <c r="AL279" s="12">
        <f t="shared" si="30"/>
        <v>125100</v>
      </c>
    </row>
    <row r="280" spans="1:42" ht="78" customHeight="1" x14ac:dyDescent="0.2">
      <c r="A280" s="19" t="s">
        <v>648</v>
      </c>
      <c r="B280" s="49" t="s">
        <v>649</v>
      </c>
      <c r="C280" s="21">
        <v>2282</v>
      </c>
      <c r="D280" s="39"/>
      <c r="E280" s="39"/>
      <c r="F280" s="39"/>
      <c r="G280" s="50"/>
      <c r="H280" s="39"/>
      <c r="I280" s="39"/>
      <c r="J280" s="39"/>
      <c r="K280" s="51"/>
      <c r="L280" s="51"/>
      <c r="M280" s="39"/>
      <c r="N280" s="39"/>
      <c r="O280" s="39"/>
      <c r="P280" s="52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12" t="s">
        <v>650</v>
      </c>
      <c r="AG280" s="12">
        <f>1200+3800-254.88-173.4-217.36</f>
        <v>4354.3600000000006</v>
      </c>
      <c r="AH280" s="39"/>
      <c r="AI280" s="39"/>
      <c r="AJ280" s="22"/>
      <c r="AK280" s="53"/>
      <c r="AL280" s="12">
        <f t="shared" si="30"/>
        <v>4354.3600000000006</v>
      </c>
    </row>
    <row r="281" spans="1:42" ht="69" customHeight="1" x14ac:dyDescent="0.2">
      <c r="A281" s="19" t="s">
        <v>651</v>
      </c>
      <c r="B281" s="49" t="s">
        <v>649</v>
      </c>
      <c r="C281" s="21">
        <v>2282</v>
      </c>
      <c r="D281" s="39"/>
      <c r="E281" s="39"/>
      <c r="F281" s="39"/>
      <c r="G281" s="50"/>
      <c r="H281" s="39"/>
      <c r="I281" s="39"/>
      <c r="J281" s="39"/>
      <c r="K281" s="51"/>
      <c r="L281" s="51"/>
      <c r="M281" s="39"/>
      <c r="N281" s="39"/>
      <c r="O281" s="39"/>
      <c r="P281" s="52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12" t="s">
        <v>652</v>
      </c>
      <c r="AG281" s="12">
        <f>173.4+217.36</f>
        <v>390.76</v>
      </c>
      <c r="AH281" s="39"/>
      <c r="AI281" s="39"/>
      <c r="AJ281" s="22"/>
      <c r="AK281" s="53"/>
      <c r="AL281" s="12">
        <f t="shared" si="30"/>
        <v>390.76</v>
      </c>
    </row>
    <row r="282" spans="1:42" ht="65.25" customHeight="1" x14ac:dyDescent="0.2">
      <c r="A282" s="19" t="s">
        <v>653</v>
      </c>
      <c r="B282" s="49" t="s">
        <v>649</v>
      </c>
      <c r="C282" s="21">
        <v>2282</v>
      </c>
      <c r="D282" s="39"/>
      <c r="E282" s="39"/>
      <c r="F282" s="39"/>
      <c r="G282" s="50"/>
      <c r="H282" s="39"/>
      <c r="I282" s="39"/>
      <c r="J282" s="39"/>
      <c r="K282" s="51"/>
      <c r="L282" s="51"/>
      <c r="M282" s="39"/>
      <c r="N282" s="39"/>
      <c r="O282" s="39"/>
      <c r="P282" s="52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12" t="s">
        <v>654</v>
      </c>
      <c r="AG282" s="12">
        <v>900</v>
      </c>
      <c r="AH282" s="39"/>
      <c r="AI282" s="39"/>
      <c r="AJ282" s="29"/>
      <c r="AK282" s="53"/>
      <c r="AL282" s="12">
        <f t="shared" si="30"/>
        <v>900</v>
      </c>
    </row>
    <row r="283" spans="1:42" s="23" customFormat="1" ht="69" customHeight="1" x14ac:dyDescent="0.2">
      <c r="A283" s="19" t="s">
        <v>655</v>
      </c>
      <c r="B283" s="54" t="s">
        <v>616</v>
      </c>
      <c r="C283" s="21">
        <v>2282</v>
      </c>
      <c r="D283" s="49">
        <v>2240</v>
      </c>
      <c r="E283" s="39"/>
      <c r="F283" s="39">
        <v>6000</v>
      </c>
      <c r="G283" s="39">
        <f>E283+F283</f>
        <v>6000</v>
      </c>
      <c r="H283" s="50"/>
      <c r="I283" s="39"/>
      <c r="J283" s="39"/>
      <c r="K283" s="39"/>
      <c r="L283" s="51"/>
      <c r="M283" s="51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12" t="s">
        <v>656</v>
      </c>
      <c r="AG283" s="12">
        <v>254.88</v>
      </c>
      <c r="AH283" s="39"/>
      <c r="AI283" s="39"/>
      <c r="AJ283" s="55"/>
      <c r="AK283" s="53"/>
      <c r="AL283" s="12">
        <f t="shared" si="30"/>
        <v>254.88</v>
      </c>
      <c r="AM283" s="3"/>
      <c r="AN283" s="3"/>
      <c r="AO283" s="3"/>
      <c r="AP283" s="3"/>
    </row>
    <row r="284" spans="1:42" ht="42.75" x14ac:dyDescent="0.2">
      <c r="A284" s="35" t="s">
        <v>657</v>
      </c>
      <c r="B284" s="56"/>
      <c r="C284" s="50"/>
      <c r="D284" s="57" t="e">
        <f>SUM(#REF!)</f>
        <v>#REF!</v>
      </c>
      <c r="E284" s="57" t="e">
        <f>SUM(#REF!)</f>
        <v>#REF!</v>
      </c>
      <c r="F284" s="57" t="e">
        <f>SUM(#REF!)</f>
        <v>#REF!</v>
      </c>
      <c r="G284" s="50"/>
      <c r="H284" s="39"/>
      <c r="I284" s="39"/>
      <c r="J284" s="39"/>
      <c r="K284" s="51"/>
      <c r="L284" s="51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9" t="s">
        <v>658</v>
      </c>
      <c r="AG284" s="57">
        <f>SUM(AG280:AG283)</f>
        <v>5900.0000000000009</v>
      </c>
      <c r="AH284" s="57"/>
      <c r="AI284" s="39"/>
      <c r="AJ284" s="55"/>
      <c r="AK284" s="53"/>
      <c r="AL284" s="12">
        <f t="shared" si="30"/>
        <v>5900.0000000000009</v>
      </c>
    </row>
    <row r="285" spans="1:42" ht="77.25" customHeight="1" x14ac:dyDescent="0.2">
      <c r="A285" s="19" t="s">
        <v>659</v>
      </c>
      <c r="B285" s="34" t="s">
        <v>277</v>
      </c>
      <c r="C285" s="21">
        <v>3110</v>
      </c>
      <c r="D285" s="12"/>
      <c r="E285" s="26"/>
      <c r="F285" s="12"/>
      <c r="G285" s="27"/>
      <c r="H285" s="12"/>
      <c r="I285" s="12"/>
      <c r="J285" s="12"/>
      <c r="K285" s="12"/>
      <c r="L285" s="13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>
        <v>3839</v>
      </c>
      <c r="X285" s="12"/>
      <c r="Y285" s="12"/>
      <c r="Z285" s="12"/>
      <c r="AA285" s="12"/>
      <c r="AB285" s="12">
        <v>5000</v>
      </c>
      <c r="AC285" s="12"/>
      <c r="AD285" s="12"/>
      <c r="AE285" s="12"/>
      <c r="AF285" s="12" t="s">
        <v>660</v>
      </c>
      <c r="AG285" s="12">
        <f>17000-8050-6500</f>
        <v>2450</v>
      </c>
      <c r="AH285" s="12"/>
      <c r="AI285" s="12"/>
      <c r="AJ285" s="58"/>
      <c r="AK285" s="24"/>
      <c r="AL285" s="12">
        <f t="shared" si="30"/>
        <v>2450</v>
      </c>
    </row>
    <row r="286" spans="1:42" ht="96.75" customHeight="1" x14ac:dyDescent="0.2">
      <c r="A286" s="19" t="s">
        <v>661</v>
      </c>
      <c r="B286" s="34" t="s">
        <v>277</v>
      </c>
      <c r="C286" s="21">
        <v>3110</v>
      </c>
      <c r="D286" s="12"/>
      <c r="E286" s="26"/>
      <c r="F286" s="12"/>
      <c r="G286" s="27"/>
      <c r="H286" s="12"/>
      <c r="I286" s="12"/>
      <c r="J286" s="12"/>
      <c r="K286" s="12"/>
      <c r="L286" s="13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>
        <v>3839</v>
      </c>
      <c r="X286" s="12"/>
      <c r="Y286" s="12"/>
      <c r="Z286" s="12"/>
      <c r="AA286" s="12"/>
      <c r="AB286" s="12">
        <v>5000</v>
      </c>
      <c r="AC286" s="12"/>
      <c r="AD286" s="12"/>
      <c r="AE286" s="12"/>
      <c r="AF286" s="12" t="s">
        <v>662</v>
      </c>
      <c r="AG286" s="12">
        <f>5600+8050+14000</f>
        <v>27650</v>
      </c>
      <c r="AH286" s="28"/>
      <c r="AI286" s="28"/>
      <c r="AJ286" s="29"/>
      <c r="AK286" s="24"/>
      <c r="AL286" s="12">
        <f t="shared" si="30"/>
        <v>27650</v>
      </c>
    </row>
    <row r="287" spans="1:42" ht="85.5" customHeight="1" x14ac:dyDescent="0.2">
      <c r="A287" s="19" t="s">
        <v>663</v>
      </c>
      <c r="B287" s="34" t="s">
        <v>277</v>
      </c>
      <c r="C287" s="21">
        <v>3110</v>
      </c>
      <c r="D287" s="12"/>
      <c r="E287" s="26"/>
      <c r="F287" s="12"/>
      <c r="G287" s="27"/>
      <c r="H287" s="12"/>
      <c r="I287" s="12"/>
      <c r="J287" s="12"/>
      <c r="K287" s="12"/>
      <c r="L287" s="13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>
        <v>3839</v>
      </c>
      <c r="X287" s="12"/>
      <c r="Y287" s="12"/>
      <c r="Z287" s="12"/>
      <c r="AA287" s="12"/>
      <c r="AB287" s="12">
        <v>5000</v>
      </c>
      <c r="AC287" s="12"/>
      <c r="AD287" s="12"/>
      <c r="AE287" s="12"/>
      <c r="AF287" s="12" t="s">
        <v>664</v>
      </c>
      <c r="AG287" s="12">
        <v>8000</v>
      </c>
      <c r="AH287" s="28"/>
      <c r="AI287" s="28"/>
      <c r="AJ287" s="29"/>
      <c r="AK287" s="24"/>
      <c r="AL287" s="12">
        <f t="shared" si="30"/>
        <v>8000</v>
      </c>
    </row>
    <row r="288" spans="1:42" ht="60" x14ac:dyDescent="0.2">
      <c r="A288" s="19" t="s">
        <v>276</v>
      </c>
      <c r="B288" s="34" t="s">
        <v>277</v>
      </c>
      <c r="C288" s="21">
        <v>3110</v>
      </c>
      <c r="D288" s="12"/>
      <c r="E288" s="26"/>
      <c r="F288" s="12"/>
      <c r="G288" s="27"/>
      <c r="H288" s="12"/>
      <c r="I288" s="12"/>
      <c r="J288" s="12"/>
      <c r="K288" s="12"/>
      <c r="L288" s="13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>
        <v>3839</v>
      </c>
      <c r="X288" s="12"/>
      <c r="Y288" s="12"/>
      <c r="Z288" s="12"/>
      <c r="AA288" s="12"/>
      <c r="AB288" s="12">
        <v>5000</v>
      </c>
      <c r="AC288" s="12"/>
      <c r="AD288" s="12"/>
      <c r="AE288" s="12"/>
      <c r="AF288" s="12" t="s">
        <v>665</v>
      </c>
      <c r="AG288" s="12">
        <v>6500</v>
      </c>
      <c r="AH288" s="12"/>
      <c r="AI288" s="12"/>
      <c r="AJ288" s="29"/>
      <c r="AK288" s="24"/>
      <c r="AL288" s="12">
        <f t="shared" si="30"/>
        <v>6500</v>
      </c>
    </row>
    <row r="289" spans="1:42" ht="62.25" customHeight="1" x14ac:dyDescent="0.2">
      <c r="A289" s="35" t="s">
        <v>666</v>
      </c>
      <c r="B289" s="59"/>
      <c r="C289" s="7"/>
      <c r="D289" s="9" t="e">
        <f>SUM(#REF!)</f>
        <v>#REF!</v>
      </c>
      <c r="E289" s="9" t="e">
        <f>SUM(#REF!)</f>
        <v>#REF!</v>
      </c>
      <c r="F289" s="9" t="e">
        <f>SUM(#REF!)</f>
        <v>#REF!</v>
      </c>
      <c r="G289" s="7"/>
      <c r="H289" s="12"/>
      <c r="I289" s="12"/>
      <c r="J289" s="12"/>
      <c r="K289" s="12"/>
      <c r="L289" s="13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9" t="s">
        <v>667</v>
      </c>
      <c r="AG289" s="9">
        <f>SUM(AG285:AG288)</f>
        <v>44600</v>
      </c>
      <c r="AH289" s="9"/>
      <c r="AI289" s="13"/>
      <c r="AJ289" s="22" t="s">
        <v>668</v>
      </c>
      <c r="AK289" s="4"/>
      <c r="AL289" s="12">
        <f t="shared" si="30"/>
        <v>44600</v>
      </c>
    </row>
    <row r="290" spans="1:42" ht="32.25" customHeight="1" x14ac:dyDescent="0.2">
      <c r="A290" s="160" t="s">
        <v>669</v>
      </c>
      <c r="B290" s="149"/>
      <c r="C290" s="149"/>
      <c r="D290" s="149"/>
      <c r="E290" s="149"/>
      <c r="F290" s="149"/>
      <c r="G290" s="7"/>
      <c r="H290" s="12"/>
      <c r="I290" s="12"/>
      <c r="J290" s="12"/>
      <c r="K290" s="13"/>
      <c r="L290" s="13"/>
      <c r="M290" s="13"/>
      <c r="N290" s="13"/>
      <c r="O290" s="13"/>
      <c r="P290" s="13"/>
      <c r="Q290" s="13"/>
      <c r="R290" s="13"/>
      <c r="S290" s="12"/>
      <c r="T290" s="12"/>
      <c r="U290" s="12"/>
      <c r="V290" s="12"/>
      <c r="W290" s="13"/>
      <c r="X290" s="13"/>
      <c r="Y290" s="13"/>
      <c r="Z290" s="13"/>
      <c r="AA290" s="13"/>
      <c r="AB290" s="13"/>
      <c r="AC290" s="13"/>
      <c r="AD290" s="13"/>
      <c r="AE290" s="13"/>
      <c r="AF290" s="12"/>
      <c r="AG290" s="12"/>
      <c r="AH290" s="12"/>
      <c r="AI290" s="12"/>
      <c r="AJ290" s="58"/>
      <c r="AK290" s="4"/>
      <c r="AL290" s="12">
        <f t="shared" si="30"/>
        <v>0</v>
      </c>
    </row>
    <row r="291" spans="1:42" ht="92.25" customHeight="1" x14ac:dyDescent="0.2">
      <c r="A291" s="19" t="s">
        <v>670</v>
      </c>
      <c r="B291" s="12" t="s">
        <v>104</v>
      </c>
      <c r="C291" s="21">
        <v>2210</v>
      </c>
      <c r="D291" s="12"/>
      <c r="E291" s="12">
        <v>10000</v>
      </c>
      <c r="F291" s="12">
        <f t="shared" ref="F291:F293" si="34">D291+E291</f>
        <v>10000</v>
      </c>
      <c r="G291" s="13"/>
      <c r="H291" s="12"/>
      <c r="I291" s="12"/>
      <c r="J291" s="12"/>
      <c r="K291" s="13"/>
      <c r="L291" s="13"/>
      <c r="M291" s="12"/>
      <c r="N291" s="12"/>
      <c r="O291" s="12"/>
      <c r="P291" s="12"/>
      <c r="Q291" s="12"/>
      <c r="R291" s="12">
        <v>2341</v>
      </c>
      <c r="S291" s="12">
        <v>13920</v>
      </c>
      <c r="T291" s="12"/>
      <c r="U291" s="12"/>
      <c r="V291" s="12"/>
      <c r="W291" s="12"/>
      <c r="X291" s="12"/>
      <c r="Y291" s="12">
        <v>8800</v>
      </c>
      <c r="Z291" s="12"/>
      <c r="AA291" s="12"/>
      <c r="AB291" s="12"/>
      <c r="AC291" s="12"/>
      <c r="AD291" s="12"/>
      <c r="AE291" s="12"/>
      <c r="AF291" s="21" t="s">
        <v>671</v>
      </c>
      <c r="AG291" s="12">
        <f>15000-5000-5000-272</f>
        <v>4728</v>
      </c>
      <c r="AH291" s="12"/>
      <c r="AI291" s="12"/>
      <c r="AJ291" s="22" t="s">
        <v>672</v>
      </c>
      <c r="AK291" s="4"/>
      <c r="AL291" s="12">
        <f t="shared" si="30"/>
        <v>4728</v>
      </c>
      <c r="AM291" s="24"/>
      <c r="AN291" s="24"/>
    </row>
    <row r="292" spans="1:42" ht="65.25" customHeight="1" x14ac:dyDescent="0.2">
      <c r="A292" s="19" t="s">
        <v>309</v>
      </c>
      <c r="B292" s="21" t="s">
        <v>310</v>
      </c>
      <c r="C292" s="21">
        <v>2210</v>
      </c>
      <c r="D292" s="12">
        <v>56000</v>
      </c>
      <c r="E292" s="12"/>
      <c r="F292" s="12">
        <f t="shared" si="34"/>
        <v>56000</v>
      </c>
      <c r="G292" s="7"/>
      <c r="H292" s="12"/>
      <c r="I292" s="12"/>
      <c r="J292" s="12"/>
      <c r="K292" s="12"/>
      <c r="L292" s="14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>
        <v>16867.810000000001</v>
      </c>
      <c r="AA292" s="12"/>
      <c r="AB292" s="12"/>
      <c r="AC292" s="12"/>
      <c r="AD292" s="12"/>
      <c r="AE292" s="12"/>
      <c r="AF292" s="21" t="s">
        <v>673</v>
      </c>
      <c r="AG292" s="12">
        <f>10000+272</f>
        <v>10272</v>
      </c>
      <c r="AH292" s="12"/>
      <c r="AI292" s="12"/>
      <c r="AJ292" s="22" t="s">
        <v>674</v>
      </c>
      <c r="AK292" s="4"/>
      <c r="AL292" s="12">
        <f t="shared" si="30"/>
        <v>10272</v>
      </c>
      <c r="AM292" s="24"/>
    </row>
    <row r="293" spans="1:42" ht="87.75" customHeight="1" x14ac:dyDescent="0.2">
      <c r="A293" s="19" t="s">
        <v>409</v>
      </c>
      <c r="B293" s="21" t="s">
        <v>147</v>
      </c>
      <c r="C293" s="21">
        <v>2210</v>
      </c>
      <c r="D293" s="12">
        <v>36000</v>
      </c>
      <c r="E293" s="12"/>
      <c r="F293" s="12">
        <f t="shared" si="34"/>
        <v>36000</v>
      </c>
      <c r="G293" s="7"/>
      <c r="H293" s="9">
        <v>28293.200000000001</v>
      </c>
      <c r="I293" s="12"/>
      <c r="J293" s="12"/>
      <c r="K293" s="12"/>
      <c r="L293" s="14"/>
      <c r="M293" s="12"/>
      <c r="N293" s="26" t="s">
        <v>402</v>
      </c>
      <c r="O293" s="12"/>
      <c r="P293" s="12"/>
      <c r="Q293" s="26" t="s">
        <v>403</v>
      </c>
      <c r="R293" s="12"/>
      <c r="S293" s="12"/>
      <c r="T293" s="12">
        <v>4522.57</v>
      </c>
      <c r="U293" s="12"/>
      <c r="V293" s="12"/>
      <c r="W293" s="26" t="s">
        <v>404</v>
      </c>
      <c r="X293" s="12"/>
      <c r="Y293" s="12"/>
      <c r="Z293" s="12">
        <f>-53971.77+769.44-1007.44+53971.22</f>
        <v>-238.54999999999563</v>
      </c>
      <c r="AA293" s="12"/>
      <c r="AB293" s="12"/>
      <c r="AC293" s="12"/>
      <c r="AD293" s="12"/>
      <c r="AE293" s="12"/>
      <c r="AF293" s="21" t="s">
        <v>360</v>
      </c>
      <c r="AG293" s="12">
        <v>5000</v>
      </c>
      <c r="AH293" s="20"/>
      <c r="AI293" s="12"/>
      <c r="AJ293" s="22"/>
      <c r="AK293" s="4"/>
      <c r="AL293" s="12">
        <f t="shared" si="30"/>
        <v>5000</v>
      </c>
      <c r="AM293" s="24"/>
    </row>
    <row r="294" spans="1:42" s="23" customFormat="1" ht="63.75" customHeight="1" x14ac:dyDescent="0.2">
      <c r="A294" s="19" t="s">
        <v>675</v>
      </c>
      <c r="B294" s="20" t="s">
        <v>91</v>
      </c>
      <c r="C294" s="21">
        <v>2210</v>
      </c>
      <c r="D294" s="21">
        <v>2210</v>
      </c>
      <c r="E294" s="21">
        <v>3000</v>
      </c>
      <c r="F294" s="21" t="s">
        <v>92</v>
      </c>
      <c r="G294" s="21">
        <f>E294+F294</f>
        <v>6000</v>
      </c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 t="s">
        <v>360</v>
      </c>
      <c r="AG294" s="12">
        <v>5000</v>
      </c>
      <c r="AH294" s="12"/>
      <c r="AI294" s="12"/>
      <c r="AJ294" s="22"/>
      <c r="AK294" s="4">
        <f>4500+50+750+300+100+500+80+11656.99+153+113+36+27+189+800+57+530.4+300+25.2</f>
        <v>20167.59</v>
      </c>
      <c r="AL294" s="12">
        <f t="shared" si="30"/>
        <v>-15167.59</v>
      </c>
      <c r="AM294" s="3"/>
      <c r="AN294" s="3"/>
      <c r="AO294" s="3">
        <f>13150-AO289</f>
        <v>13150</v>
      </c>
      <c r="AP294" s="3"/>
    </row>
    <row r="295" spans="1:42" s="23" customFormat="1" ht="78.75" customHeight="1" x14ac:dyDescent="0.2">
      <c r="A295" s="19" t="s">
        <v>279</v>
      </c>
      <c r="B295" s="20" t="s">
        <v>91</v>
      </c>
      <c r="C295" s="21">
        <v>2210</v>
      </c>
      <c r="D295" s="21">
        <v>2210</v>
      </c>
      <c r="E295" s="21">
        <v>3000</v>
      </c>
      <c r="F295" s="21" t="s">
        <v>92</v>
      </c>
      <c r="G295" s="21">
        <f>E295+F295</f>
        <v>6000</v>
      </c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 t="s">
        <v>360</v>
      </c>
      <c r="AG295" s="12">
        <v>5000</v>
      </c>
      <c r="AH295" s="12"/>
      <c r="AI295" s="12"/>
      <c r="AJ295" s="22"/>
      <c r="AK295" s="4">
        <f>4500+50+750+300+100+500+80+11656.99+153+113+36+27+189+800+57+530.4+300+25.2</f>
        <v>20167.59</v>
      </c>
      <c r="AL295" s="12">
        <f t="shared" si="30"/>
        <v>-15167.59</v>
      </c>
      <c r="AM295" s="3"/>
      <c r="AN295" s="3"/>
      <c r="AO295" s="3">
        <f>13150-AO290</f>
        <v>13150</v>
      </c>
      <c r="AP295" s="3"/>
    </row>
    <row r="296" spans="1:42" ht="57.75" customHeight="1" x14ac:dyDescent="0.2">
      <c r="A296" s="35" t="s">
        <v>283</v>
      </c>
      <c r="B296" s="12"/>
      <c r="C296" s="21"/>
      <c r="D296" s="9" t="e">
        <f>SUM(#REF!)</f>
        <v>#REF!</v>
      </c>
      <c r="E296" s="9" t="e">
        <f>SUM(#REF!)</f>
        <v>#REF!</v>
      </c>
      <c r="F296" s="9" t="e">
        <f>SUM(#REF!)</f>
        <v>#REF!</v>
      </c>
      <c r="G296" s="9" t="e">
        <f>SUM(#REF!)</f>
        <v>#REF!</v>
      </c>
      <c r="H296" s="9" t="e">
        <f>SUM(#REF!)</f>
        <v>#REF!</v>
      </c>
      <c r="I296" s="9" t="e">
        <f>SUM(#REF!)</f>
        <v>#REF!</v>
      </c>
      <c r="J296" s="9" t="e">
        <f>SUM(#REF!)</f>
        <v>#REF!</v>
      </c>
      <c r="K296" s="9" t="e">
        <f>SUM(#REF!)</f>
        <v>#REF!</v>
      </c>
      <c r="L296" s="9" t="e">
        <f>SUM(#REF!)</f>
        <v>#REF!</v>
      </c>
      <c r="M296" s="9" t="e">
        <f>SUM(#REF!)</f>
        <v>#REF!</v>
      </c>
      <c r="N296" s="9" t="e">
        <f>SUM(#REF!)</f>
        <v>#REF!</v>
      </c>
      <c r="O296" s="9" t="e">
        <f>SUM(#REF!)</f>
        <v>#REF!</v>
      </c>
      <c r="P296" s="9" t="e">
        <f>SUM(#REF!)</f>
        <v>#REF!</v>
      </c>
      <c r="Q296" s="9" t="e">
        <f>SUM(#REF!)</f>
        <v>#REF!</v>
      </c>
      <c r="R296" s="9" t="e">
        <f>SUM(#REF!)</f>
        <v>#REF!</v>
      </c>
      <c r="S296" s="9" t="e">
        <f>SUM(#REF!)</f>
        <v>#REF!</v>
      </c>
      <c r="T296" s="9" t="e">
        <f>SUM(#REF!)</f>
        <v>#REF!</v>
      </c>
      <c r="U296" s="9" t="e">
        <f>SUM(#REF!)</f>
        <v>#REF!</v>
      </c>
      <c r="V296" s="9" t="e">
        <f>SUM(#REF!)</f>
        <v>#REF!</v>
      </c>
      <c r="W296" s="9" t="e">
        <f>SUM(#REF!)</f>
        <v>#REF!</v>
      </c>
      <c r="X296" s="9" t="e">
        <f>SUM(#REF!)</f>
        <v>#REF!</v>
      </c>
      <c r="Y296" s="9" t="e">
        <f>SUM(#REF!)</f>
        <v>#REF!</v>
      </c>
      <c r="Z296" s="9" t="e">
        <f>SUM(#REF!)</f>
        <v>#REF!</v>
      </c>
      <c r="AA296" s="9" t="e">
        <f>SUM(#REF!)</f>
        <v>#REF!</v>
      </c>
      <c r="AB296" s="9" t="e">
        <f>SUM(#REF!)</f>
        <v>#REF!</v>
      </c>
      <c r="AC296" s="9" t="e">
        <f>SUM(#REF!)</f>
        <v>#REF!</v>
      </c>
      <c r="AD296" s="9" t="e">
        <f>SUM(#REF!)</f>
        <v>#REF!</v>
      </c>
      <c r="AE296" s="9" t="e">
        <f>SUM(#REF!)</f>
        <v>#REF!</v>
      </c>
      <c r="AF296" s="9" t="s">
        <v>676</v>
      </c>
      <c r="AG296" s="9">
        <f>SUM(AG291:AG295)</f>
        <v>30000</v>
      </c>
      <c r="AH296" s="9"/>
      <c r="AI296" s="12"/>
      <c r="AJ296" s="22" t="s">
        <v>677</v>
      </c>
      <c r="AK296" s="4"/>
      <c r="AL296" s="12">
        <f t="shared" si="30"/>
        <v>30000</v>
      </c>
      <c r="AM296" s="60"/>
      <c r="AN296" s="60"/>
    </row>
    <row r="297" spans="1:42" s="23" customFormat="1" ht="74.25" customHeight="1" x14ac:dyDescent="0.2">
      <c r="A297" s="19" t="s">
        <v>678</v>
      </c>
      <c r="B297" s="20" t="s">
        <v>679</v>
      </c>
      <c r="C297" s="21">
        <v>2240</v>
      </c>
      <c r="D297" s="21">
        <v>2240</v>
      </c>
      <c r="E297" s="21"/>
      <c r="F297" s="21"/>
      <c r="G297" s="21"/>
      <c r="H297" s="21"/>
      <c r="I297" s="21"/>
      <c r="J297" s="21"/>
      <c r="K297" s="21"/>
      <c r="L297" s="21"/>
      <c r="M297" s="21"/>
      <c r="N297" s="21">
        <v>3000</v>
      </c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 t="s">
        <v>170</v>
      </c>
      <c r="AG297" s="12">
        <v>10000</v>
      </c>
      <c r="AH297" s="12"/>
      <c r="AI297" s="12"/>
      <c r="AJ297" s="22"/>
      <c r="AK297" s="4"/>
      <c r="AL297" s="12">
        <f t="shared" si="30"/>
        <v>10000</v>
      </c>
      <c r="AM297" s="3"/>
      <c r="AN297" s="3"/>
      <c r="AO297" s="3"/>
      <c r="AP297" s="3"/>
    </row>
    <row r="298" spans="1:42" s="23" customFormat="1" ht="64.5" customHeight="1" x14ac:dyDescent="0.2">
      <c r="A298" s="19" t="s">
        <v>680</v>
      </c>
      <c r="B298" s="20" t="s">
        <v>679</v>
      </c>
      <c r="C298" s="21">
        <v>2240</v>
      </c>
      <c r="D298" s="21">
        <v>2240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>
        <v>3000</v>
      </c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 t="s">
        <v>278</v>
      </c>
      <c r="AG298" s="12">
        <f>10000-10000</f>
        <v>0</v>
      </c>
      <c r="AH298" s="12"/>
      <c r="AI298" s="12"/>
      <c r="AJ298" s="22"/>
      <c r="AK298" s="4"/>
      <c r="AL298" s="12">
        <f t="shared" si="30"/>
        <v>0</v>
      </c>
      <c r="AM298" s="3"/>
      <c r="AN298" s="3"/>
      <c r="AO298" s="3"/>
      <c r="AP298" s="3"/>
    </row>
    <row r="299" spans="1:42" ht="31.5" customHeight="1" x14ac:dyDescent="0.2">
      <c r="A299" s="35" t="s">
        <v>633</v>
      </c>
      <c r="B299" s="61" t="s">
        <v>633</v>
      </c>
      <c r="C299" s="61"/>
      <c r="D299" s="8"/>
      <c r="E299" s="9" t="e">
        <f>SUM(#REF!)</f>
        <v>#REF!</v>
      </c>
      <c r="F299" s="9"/>
      <c r="G299" s="9" t="e">
        <f>SUM(#REF!)</f>
        <v>#REF!</v>
      </c>
      <c r="H299" s="13"/>
      <c r="I299" s="62"/>
      <c r="J299" s="13"/>
      <c r="K299" s="13"/>
      <c r="L299" s="13"/>
      <c r="M299" s="13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7" t="s">
        <v>170</v>
      </c>
      <c r="AG299" s="9">
        <f>SUM(AG297)</f>
        <v>10000</v>
      </c>
      <c r="AH299" s="9"/>
      <c r="AI299" s="9"/>
      <c r="AJ299" s="58"/>
      <c r="AK299" s="4"/>
      <c r="AL299" s="12">
        <f t="shared" si="30"/>
        <v>10000</v>
      </c>
    </row>
    <row r="300" spans="1:42" ht="64.5" customHeight="1" x14ac:dyDescent="0.2">
      <c r="A300" s="19" t="s">
        <v>636</v>
      </c>
      <c r="B300" s="12" t="s">
        <v>637</v>
      </c>
      <c r="C300" s="21">
        <v>2250</v>
      </c>
      <c r="D300" s="12"/>
      <c r="E300" s="26"/>
      <c r="F300" s="12">
        <f>D300+E300</f>
        <v>0</v>
      </c>
      <c r="G300" s="27"/>
      <c r="H300" s="12"/>
      <c r="I300" s="12"/>
      <c r="J300" s="12">
        <v>1000</v>
      </c>
      <c r="K300" s="13"/>
      <c r="L300" s="13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 t="s">
        <v>681</v>
      </c>
      <c r="AG300" s="12">
        <f>1000+325</f>
        <v>1325</v>
      </c>
      <c r="AH300" s="12"/>
      <c r="AI300" s="12"/>
      <c r="AJ300" s="22"/>
      <c r="AK300" s="4"/>
      <c r="AL300" s="12">
        <f t="shared" si="30"/>
        <v>1325</v>
      </c>
    </row>
    <row r="301" spans="1:42" ht="42.75" x14ac:dyDescent="0.2">
      <c r="A301" s="35" t="s">
        <v>639</v>
      </c>
      <c r="B301" s="12"/>
      <c r="C301" s="21"/>
      <c r="D301" s="9">
        <f t="shared" ref="D301:Z301" si="35">SUM(D290:D290)</f>
        <v>0</v>
      </c>
      <c r="E301" s="9">
        <f t="shared" si="35"/>
        <v>0</v>
      </c>
      <c r="F301" s="9">
        <f t="shared" si="35"/>
        <v>0</v>
      </c>
      <c r="G301" s="9">
        <f t="shared" si="35"/>
        <v>0</v>
      </c>
      <c r="H301" s="9">
        <f t="shared" si="35"/>
        <v>0</v>
      </c>
      <c r="I301" s="9">
        <f t="shared" si="35"/>
        <v>0</v>
      </c>
      <c r="J301" s="9">
        <f t="shared" si="35"/>
        <v>0</v>
      </c>
      <c r="K301" s="9">
        <f t="shared" si="35"/>
        <v>0</v>
      </c>
      <c r="L301" s="9">
        <f t="shared" si="35"/>
        <v>0</v>
      </c>
      <c r="M301" s="9">
        <f t="shared" si="35"/>
        <v>0</v>
      </c>
      <c r="N301" s="9">
        <f t="shared" si="35"/>
        <v>0</v>
      </c>
      <c r="O301" s="9">
        <f t="shared" si="35"/>
        <v>0</v>
      </c>
      <c r="P301" s="9">
        <f t="shared" si="35"/>
        <v>0</v>
      </c>
      <c r="Q301" s="9">
        <f t="shared" si="35"/>
        <v>0</v>
      </c>
      <c r="R301" s="9">
        <f t="shared" si="35"/>
        <v>0</v>
      </c>
      <c r="S301" s="9">
        <f t="shared" si="35"/>
        <v>0</v>
      </c>
      <c r="T301" s="9">
        <f t="shared" si="35"/>
        <v>0</v>
      </c>
      <c r="U301" s="9">
        <f t="shared" si="35"/>
        <v>0</v>
      </c>
      <c r="V301" s="9">
        <f t="shared" si="35"/>
        <v>0</v>
      </c>
      <c r="W301" s="9">
        <f t="shared" si="35"/>
        <v>0</v>
      </c>
      <c r="X301" s="9">
        <f t="shared" si="35"/>
        <v>0</v>
      </c>
      <c r="Y301" s="9">
        <f t="shared" si="35"/>
        <v>0</v>
      </c>
      <c r="Z301" s="9">
        <f t="shared" si="35"/>
        <v>0</v>
      </c>
      <c r="AA301" s="12"/>
      <c r="AB301" s="12"/>
      <c r="AC301" s="12"/>
      <c r="AD301" s="12"/>
      <c r="AE301" s="12"/>
      <c r="AF301" s="9" t="s">
        <v>681</v>
      </c>
      <c r="AG301" s="9">
        <f>SUM(AG300)</f>
        <v>1325</v>
      </c>
      <c r="AH301" s="9"/>
      <c r="AI301" s="12"/>
      <c r="AJ301" s="22"/>
      <c r="AK301" s="4"/>
      <c r="AL301" s="12">
        <f t="shared" si="30"/>
        <v>1325</v>
      </c>
    </row>
    <row r="302" spans="1:42" ht="20.25" customHeight="1" thickBot="1" x14ac:dyDescent="0.25">
      <c r="A302" s="139" t="s">
        <v>682</v>
      </c>
      <c r="B302" s="140"/>
      <c r="C302" s="140"/>
      <c r="D302" s="140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1"/>
      <c r="AH302" s="141"/>
      <c r="AI302" s="141"/>
      <c r="AJ302" s="142"/>
      <c r="AK302" s="4"/>
      <c r="AL302" s="12">
        <f t="shared" si="30"/>
        <v>0</v>
      </c>
    </row>
    <row r="303" spans="1:42" ht="38.25" customHeight="1" x14ac:dyDescent="0.25">
      <c r="A303" s="63" t="s">
        <v>683</v>
      </c>
      <c r="B303" s="64"/>
      <c r="C303" s="156" t="s">
        <v>684</v>
      </c>
      <c r="D303" s="156"/>
      <c r="E303" s="156"/>
      <c r="F303" s="156"/>
      <c r="G303" s="156"/>
      <c r="H303" s="156"/>
      <c r="I303" s="156"/>
      <c r="J303" s="156"/>
      <c r="K303" s="156"/>
      <c r="L303" s="156"/>
      <c r="M303" s="156"/>
      <c r="N303" s="156"/>
      <c r="O303" s="156"/>
      <c r="P303" s="156"/>
      <c r="Q303" s="156"/>
      <c r="R303" s="156"/>
      <c r="S303" s="156"/>
      <c r="T303" s="156"/>
      <c r="U303" s="156"/>
      <c r="V303" s="156"/>
      <c r="W303" s="156"/>
      <c r="X303" s="156"/>
      <c r="Y303" s="156"/>
      <c r="Z303" s="156"/>
      <c r="AA303" s="156"/>
      <c r="AB303" s="156"/>
      <c r="AC303" s="156"/>
      <c r="AD303" s="156"/>
      <c r="AE303" s="156"/>
      <c r="AF303" s="156"/>
      <c r="AG303" s="156"/>
      <c r="AH303" s="156"/>
      <c r="AI303" s="65"/>
      <c r="AJ303" s="65"/>
      <c r="AK303" s="4"/>
      <c r="AL303" s="12">
        <f t="shared" si="30"/>
        <v>0</v>
      </c>
    </row>
    <row r="304" spans="1:42" ht="38.25" customHeight="1" x14ac:dyDescent="0.25">
      <c r="A304" s="66"/>
      <c r="B304" s="66"/>
      <c r="C304" s="157" t="s">
        <v>685</v>
      </c>
      <c r="D304" s="157"/>
      <c r="E304" s="157"/>
      <c r="F304" s="157"/>
      <c r="G304" s="157"/>
      <c r="H304" s="157"/>
      <c r="I304" s="157"/>
      <c r="J304" s="157"/>
      <c r="K304" s="157"/>
      <c r="L304" s="157"/>
      <c r="M304" s="157"/>
      <c r="N304" s="157"/>
      <c r="O304" s="157"/>
      <c r="P304" s="157"/>
      <c r="Q304" s="157"/>
      <c r="R304" s="157"/>
      <c r="S304" s="157"/>
      <c r="T304" s="157"/>
      <c r="U304" s="157"/>
      <c r="V304" s="157"/>
      <c r="W304" s="157"/>
      <c r="X304" s="157"/>
      <c r="Y304" s="157"/>
      <c r="Z304" s="157"/>
      <c r="AA304" s="157"/>
      <c r="AB304" s="157"/>
      <c r="AC304" s="157"/>
      <c r="AD304" s="157"/>
      <c r="AE304" s="157"/>
      <c r="AF304" s="157"/>
      <c r="AG304" s="157"/>
      <c r="AH304" s="157"/>
      <c r="AI304" s="4"/>
      <c r="AJ304" s="65"/>
      <c r="AK304" s="4"/>
      <c r="AL304" s="12">
        <f t="shared" si="30"/>
        <v>0</v>
      </c>
    </row>
    <row r="305" spans="1:45" ht="38.25" customHeight="1" x14ac:dyDescent="0.25">
      <c r="A305" s="66"/>
      <c r="B305" s="66"/>
      <c r="C305" s="67"/>
      <c r="D305" s="68"/>
      <c r="E305" s="66"/>
      <c r="F305" s="69"/>
      <c r="G305" s="69"/>
      <c r="H305" s="70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4"/>
      <c r="AG305" s="4"/>
      <c r="AH305" s="4"/>
      <c r="AI305" s="4"/>
      <c r="AJ305" s="65"/>
      <c r="AK305" s="4"/>
      <c r="AL305" s="12">
        <f t="shared" si="30"/>
        <v>0</v>
      </c>
    </row>
    <row r="306" spans="1:45" ht="38.25" customHeight="1" x14ac:dyDescent="0.2">
      <c r="A306" s="24"/>
      <c r="B306" s="24" t="s">
        <v>686</v>
      </c>
      <c r="AI306" s="44">
        <f>AG119+AG222+AG244+AG274+AG276+AG279+AG284+AG289+AG296+AG299+AG301</f>
        <v>2463083.06</v>
      </c>
      <c r="AK306" s="4"/>
    </row>
    <row r="307" spans="1:45" ht="77.25" customHeight="1" x14ac:dyDescent="0.2">
      <c r="A307" s="20" t="s">
        <v>159</v>
      </c>
      <c r="B307" s="13"/>
      <c r="C307" s="13">
        <v>46.2</v>
      </c>
      <c r="AF307" s="20" t="s">
        <v>159</v>
      </c>
      <c r="AG307" s="13"/>
      <c r="AH307" s="13">
        <v>46.2</v>
      </c>
      <c r="AK307" s="4"/>
    </row>
    <row r="308" spans="1:45" ht="75.75" customHeight="1" x14ac:dyDescent="0.2">
      <c r="A308" s="20" t="s">
        <v>246</v>
      </c>
      <c r="B308" s="13"/>
      <c r="C308" s="13">
        <v>2349</v>
      </c>
      <c r="AF308" s="20" t="s">
        <v>246</v>
      </c>
      <c r="AG308" s="13"/>
      <c r="AH308" s="13">
        <v>2349</v>
      </c>
      <c r="AK308" s="4"/>
    </row>
    <row r="309" spans="1:45" ht="61.5" customHeight="1" x14ac:dyDescent="0.2">
      <c r="A309" s="20" t="s">
        <v>97</v>
      </c>
      <c r="B309" s="13"/>
      <c r="C309" s="13">
        <v>144</v>
      </c>
      <c r="AF309" s="20" t="s">
        <v>97</v>
      </c>
      <c r="AG309" s="13"/>
      <c r="AH309" s="13">
        <v>144</v>
      </c>
      <c r="AK309" s="4"/>
    </row>
    <row r="310" spans="1:45" ht="72.75" customHeight="1" x14ac:dyDescent="0.2">
      <c r="A310" s="20" t="s">
        <v>146</v>
      </c>
      <c r="B310" s="13"/>
      <c r="C310" s="13">
        <v>156</v>
      </c>
      <c r="AF310" s="20" t="s">
        <v>146</v>
      </c>
      <c r="AG310" s="13"/>
      <c r="AH310" s="13">
        <v>156</v>
      </c>
      <c r="AK310" s="71"/>
      <c r="AM310" s="71"/>
      <c r="AN310" s="5"/>
    </row>
    <row r="311" spans="1:45" ht="72.75" customHeight="1" x14ac:dyDescent="0.2">
      <c r="A311" s="20" t="s">
        <v>687</v>
      </c>
      <c r="B311" s="13"/>
      <c r="C311" s="13">
        <f>135.6+40.32</f>
        <v>175.92</v>
      </c>
      <c r="AF311" s="20" t="s">
        <v>687</v>
      </c>
      <c r="AG311" s="13"/>
      <c r="AH311" s="13">
        <f>135.6+40.32</f>
        <v>175.92</v>
      </c>
      <c r="AK311" s="71"/>
      <c r="AM311" s="71"/>
      <c r="AN311" s="5"/>
    </row>
    <row r="312" spans="1:45" ht="72.75" customHeight="1" x14ac:dyDescent="0.2">
      <c r="A312" s="20" t="s">
        <v>242</v>
      </c>
      <c r="B312" s="13"/>
      <c r="C312" s="13">
        <v>769.8</v>
      </c>
      <c r="AF312" s="20" t="s">
        <v>242</v>
      </c>
      <c r="AG312" s="13"/>
      <c r="AH312" s="13">
        <v>769.8</v>
      </c>
      <c r="AK312" s="71"/>
      <c r="AM312" s="71"/>
      <c r="AN312" s="5"/>
    </row>
    <row r="313" spans="1:45" ht="72.75" customHeight="1" x14ac:dyDescent="0.2">
      <c r="A313" s="20" t="s">
        <v>688</v>
      </c>
      <c r="B313" s="13"/>
      <c r="C313" s="13">
        <v>155.52000000000001</v>
      </c>
      <c r="AF313" s="20" t="s">
        <v>688</v>
      </c>
      <c r="AG313" s="13"/>
      <c r="AH313" s="13">
        <v>155.52000000000001</v>
      </c>
      <c r="AK313" s="71"/>
      <c r="AM313" s="71"/>
      <c r="AN313" s="5"/>
    </row>
    <row r="314" spans="1:45" ht="72.75" customHeight="1" x14ac:dyDescent="0.2">
      <c r="A314" s="13" t="s">
        <v>689</v>
      </c>
      <c r="B314" s="13"/>
      <c r="C314" s="13">
        <f>SUM(C307:C313)</f>
        <v>3796.44</v>
      </c>
      <c r="AF314" s="13" t="s">
        <v>689</v>
      </c>
      <c r="AG314" s="13"/>
      <c r="AH314" s="13">
        <f>SUM(AH307:AH313)</f>
        <v>3796.44</v>
      </c>
      <c r="AK314" s="71"/>
      <c r="AL314" s="4"/>
      <c r="AM314" s="71"/>
      <c r="AN314" s="4"/>
    </row>
    <row r="315" spans="1:45" ht="83.25" customHeight="1" x14ac:dyDescent="0.2">
      <c r="AK315" s="71"/>
      <c r="AL315" s="4"/>
      <c r="AM315" s="71"/>
      <c r="AN315" s="4"/>
    </row>
    <row r="316" spans="1:45" ht="285" x14ac:dyDescent="0.2">
      <c r="A316" s="20" t="s">
        <v>690</v>
      </c>
      <c r="B316" s="13"/>
      <c r="C316" s="13">
        <v>1.2</v>
      </c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72">
        <f>26.7+26.6</f>
        <v>53.3</v>
      </c>
      <c r="AG316" s="14">
        <f>C316*AF316</f>
        <v>63.959999999999994</v>
      </c>
      <c r="AK316" s="71"/>
      <c r="AL316" s="4"/>
      <c r="AM316" s="71"/>
      <c r="AN316" s="4"/>
      <c r="AP316" s="20" t="s">
        <v>690</v>
      </c>
      <c r="AQ316" s="13">
        <v>1.2</v>
      </c>
      <c r="AR316" s="72">
        <f>26.7+26.6</f>
        <v>53.3</v>
      </c>
      <c r="AS316" s="14">
        <f t="shared" ref="AS316:AS332" si="36">AQ316*AR316</f>
        <v>63.959999999999994</v>
      </c>
    </row>
    <row r="317" spans="1:45" ht="72" customHeight="1" x14ac:dyDescent="0.2">
      <c r="A317" s="20" t="s">
        <v>123</v>
      </c>
      <c r="B317" s="13"/>
      <c r="C317" s="13">
        <v>1.2</v>
      </c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72">
        <f>37.5+82.5</f>
        <v>120</v>
      </c>
      <c r="AG317" s="14">
        <f t="shared" ref="AG317:AG332" si="37">C317*AF317</f>
        <v>144</v>
      </c>
      <c r="AK317" s="4"/>
      <c r="AL317" s="4"/>
      <c r="AM317" s="4"/>
      <c r="AN317" s="4"/>
      <c r="AP317" s="20" t="s">
        <v>123</v>
      </c>
      <c r="AQ317" s="13">
        <v>1.2</v>
      </c>
      <c r="AR317" s="72">
        <f>37.5+82.5</f>
        <v>120</v>
      </c>
      <c r="AS317" s="14">
        <f t="shared" si="36"/>
        <v>144</v>
      </c>
    </row>
    <row r="318" spans="1:45" ht="72" customHeight="1" x14ac:dyDescent="0.2">
      <c r="A318" s="20" t="s">
        <v>691</v>
      </c>
      <c r="B318" s="13"/>
      <c r="C318" s="13">
        <v>1.2</v>
      </c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72">
        <f>136.65+320.8+791.6+71.25+67.5</f>
        <v>1387.8000000000002</v>
      </c>
      <c r="AG318" s="14">
        <f t="shared" si="37"/>
        <v>1665.3600000000001</v>
      </c>
      <c r="AK318" s="71"/>
      <c r="AL318" s="4"/>
      <c r="AM318" s="71"/>
      <c r="AN318" s="4"/>
      <c r="AP318" s="20" t="s">
        <v>691</v>
      </c>
      <c r="AQ318" s="13">
        <v>1.2</v>
      </c>
      <c r="AR318" s="72">
        <f>136.65+320.8+791.6+71.25+67.5+110</f>
        <v>1497.8000000000002</v>
      </c>
      <c r="AS318" s="14">
        <f t="shared" si="36"/>
        <v>1797.3600000000001</v>
      </c>
    </row>
    <row r="319" spans="1:45" s="5" customFormat="1" ht="49.5" customHeight="1" x14ac:dyDescent="0.2">
      <c r="A319" s="20" t="s">
        <v>132</v>
      </c>
      <c r="B319" s="13"/>
      <c r="C319" s="13">
        <v>1.2</v>
      </c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72">
        <f>108.3</f>
        <v>108.3</v>
      </c>
      <c r="AG319" s="14">
        <f t="shared" si="37"/>
        <v>129.95999999999998</v>
      </c>
      <c r="AH319" s="3"/>
      <c r="AI319" s="3"/>
      <c r="AJ319" s="3"/>
      <c r="AK319" s="4"/>
      <c r="AM319" s="3"/>
      <c r="AN319" s="3"/>
      <c r="AO319" s="3"/>
      <c r="AP319" s="20" t="s">
        <v>132</v>
      </c>
      <c r="AQ319" s="13">
        <v>1.2</v>
      </c>
      <c r="AR319" s="72">
        <f>108.3</f>
        <v>108.3</v>
      </c>
      <c r="AS319" s="14">
        <f t="shared" si="36"/>
        <v>129.95999999999998</v>
      </c>
    </row>
    <row r="320" spans="1:45" s="5" customFormat="1" ht="80.25" customHeight="1" x14ac:dyDescent="0.2">
      <c r="A320" s="20" t="s">
        <v>155</v>
      </c>
      <c r="B320" s="13"/>
      <c r="C320" s="13">
        <v>1.2</v>
      </c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72">
        <f>21.3</f>
        <v>21.3</v>
      </c>
      <c r="AG320" s="14">
        <f t="shared" si="37"/>
        <v>25.56</v>
      </c>
      <c r="AH320" s="3"/>
      <c r="AI320" s="3"/>
      <c r="AJ320" s="3"/>
      <c r="AK320" s="4"/>
      <c r="AM320" s="3"/>
      <c r="AN320" s="3"/>
      <c r="AO320" s="3"/>
      <c r="AP320" s="20" t="s">
        <v>155</v>
      </c>
      <c r="AQ320" s="13">
        <v>1.2</v>
      </c>
      <c r="AR320" s="72">
        <f>21.3</f>
        <v>21.3</v>
      </c>
      <c r="AS320" s="14">
        <f t="shared" si="36"/>
        <v>25.56</v>
      </c>
    </row>
    <row r="321" spans="1:45" s="5" customFormat="1" ht="65.25" customHeight="1" x14ac:dyDescent="0.2">
      <c r="A321" s="20" t="s">
        <v>157</v>
      </c>
      <c r="B321" s="13"/>
      <c r="C321" s="13">
        <v>1.2</v>
      </c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72">
        <f>136.6+47.35</f>
        <v>183.95</v>
      </c>
      <c r="AG321" s="14">
        <f t="shared" si="37"/>
        <v>220.73999999999998</v>
      </c>
      <c r="AH321" s="3"/>
      <c r="AI321" s="3"/>
      <c r="AJ321" s="3"/>
      <c r="AK321" s="4"/>
      <c r="AM321" s="3"/>
      <c r="AN321" s="3"/>
      <c r="AO321" s="3"/>
      <c r="AP321" s="20" t="s">
        <v>157</v>
      </c>
      <c r="AQ321" s="13">
        <v>1.2</v>
      </c>
      <c r="AR321" s="72">
        <f>136.6+47.35</f>
        <v>183.95</v>
      </c>
      <c r="AS321" s="14">
        <f t="shared" si="36"/>
        <v>220.73999999999998</v>
      </c>
    </row>
    <row r="322" spans="1:45" s="5" customFormat="1" ht="69" customHeight="1" x14ac:dyDescent="0.2">
      <c r="A322" s="20" t="s">
        <v>167</v>
      </c>
      <c r="B322" s="13"/>
      <c r="C322" s="13">
        <v>1.2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72">
        <f>798.3+67.45+495</f>
        <v>1360.75</v>
      </c>
      <c r="AG322" s="14">
        <f t="shared" si="37"/>
        <v>1632.8999999999999</v>
      </c>
      <c r="AH322" s="3"/>
      <c r="AI322" s="3"/>
      <c r="AJ322" s="3"/>
      <c r="AK322" s="4"/>
      <c r="AM322" s="3"/>
      <c r="AN322" s="3"/>
      <c r="AO322" s="3"/>
      <c r="AP322" s="20" t="s">
        <v>167</v>
      </c>
      <c r="AQ322" s="13">
        <v>1.2</v>
      </c>
      <c r="AR322" s="72">
        <f>798.3+67.45+495</f>
        <v>1360.75</v>
      </c>
      <c r="AS322" s="14">
        <f t="shared" si="36"/>
        <v>1632.8999999999999</v>
      </c>
    </row>
    <row r="323" spans="1:45" s="5" customFormat="1" ht="44.25" customHeight="1" x14ac:dyDescent="0.2">
      <c r="A323" s="20" t="s">
        <v>171</v>
      </c>
      <c r="B323" s="13"/>
      <c r="C323" s="13">
        <v>1.2</v>
      </c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72">
        <f>113.4</f>
        <v>113.4</v>
      </c>
      <c r="AG323" s="14">
        <f t="shared" si="37"/>
        <v>136.08000000000001</v>
      </c>
      <c r="AH323" s="3"/>
      <c r="AI323" s="3"/>
      <c r="AJ323" s="3"/>
      <c r="AK323" s="4"/>
      <c r="AM323" s="3"/>
      <c r="AN323" s="3"/>
      <c r="AO323" s="3"/>
      <c r="AP323" s="20" t="s">
        <v>171</v>
      </c>
      <c r="AQ323" s="13">
        <v>1.2</v>
      </c>
      <c r="AR323" s="72">
        <f>113.4</f>
        <v>113.4</v>
      </c>
      <c r="AS323" s="14">
        <f t="shared" si="36"/>
        <v>136.08000000000001</v>
      </c>
    </row>
    <row r="324" spans="1:45" ht="44.25" customHeight="1" x14ac:dyDescent="0.2">
      <c r="A324" s="20" t="s">
        <v>199</v>
      </c>
      <c r="B324" s="13"/>
      <c r="C324" s="13">
        <v>1.2</v>
      </c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72">
        <f>81.25</f>
        <v>81.25</v>
      </c>
      <c r="AG324" s="14">
        <f t="shared" si="37"/>
        <v>97.5</v>
      </c>
      <c r="AK324" s="4"/>
      <c r="AP324" s="20" t="s">
        <v>199</v>
      </c>
      <c r="AQ324" s="13">
        <v>1.2</v>
      </c>
      <c r="AR324" s="72">
        <f>81.25</f>
        <v>81.25</v>
      </c>
      <c r="AS324" s="14">
        <f t="shared" si="36"/>
        <v>97.5</v>
      </c>
    </row>
    <row r="325" spans="1:45" ht="54.75" customHeight="1" x14ac:dyDescent="0.2">
      <c r="A325" s="20" t="s">
        <v>193</v>
      </c>
      <c r="B325" s="13"/>
      <c r="C325" s="13">
        <v>1.2</v>
      </c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72">
        <f>34.9</f>
        <v>34.9</v>
      </c>
      <c r="AG325" s="14">
        <f t="shared" si="37"/>
        <v>41.879999999999995</v>
      </c>
      <c r="AK325" s="4"/>
      <c r="AP325" s="20" t="s">
        <v>193</v>
      </c>
      <c r="AQ325" s="13">
        <v>1.2</v>
      </c>
      <c r="AR325" s="72">
        <f>34.9</f>
        <v>34.9</v>
      </c>
      <c r="AS325" s="14">
        <f t="shared" si="36"/>
        <v>41.879999999999995</v>
      </c>
    </row>
    <row r="326" spans="1:45" s="5" customFormat="1" ht="54.75" customHeight="1" x14ac:dyDescent="0.2">
      <c r="A326" s="20" t="s">
        <v>203</v>
      </c>
      <c r="B326" s="13"/>
      <c r="C326" s="13">
        <v>1.2</v>
      </c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72">
        <f>23.95+22.4</f>
        <v>46.349999999999994</v>
      </c>
      <c r="AG326" s="14">
        <f t="shared" si="37"/>
        <v>55.61999999999999</v>
      </c>
      <c r="AH326" s="3"/>
      <c r="AI326" s="3"/>
      <c r="AJ326" s="3"/>
      <c r="AK326" s="4"/>
      <c r="AM326" s="3"/>
      <c r="AN326" s="3"/>
      <c r="AO326" s="3"/>
      <c r="AP326" s="20" t="s">
        <v>203</v>
      </c>
      <c r="AQ326" s="13">
        <v>1.2</v>
      </c>
      <c r="AR326" s="72">
        <f>23.95+22.4</f>
        <v>46.349999999999994</v>
      </c>
      <c r="AS326" s="14">
        <f t="shared" si="36"/>
        <v>55.61999999999999</v>
      </c>
    </row>
    <row r="327" spans="1:45" s="5" customFormat="1" ht="54.75" customHeight="1" x14ac:dyDescent="0.2">
      <c r="A327" s="20" t="s">
        <v>183</v>
      </c>
      <c r="B327" s="13"/>
      <c r="C327" s="13">
        <v>1.2</v>
      </c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72">
        <f>276.6</f>
        <v>276.60000000000002</v>
      </c>
      <c r="AG327" s="14">
        <f t="shared" si="37"/>
        <v>331.92</v>
      </c>
      <c r="AH327" s="3"/>
      <c r="AI327" s="3"/>
      <c r="AJ327" s="3"/>
      <c r="AK327" s="4"/>
      <c r="AM327" s="3"/>
      <c r="AN327" s="3"/>
      <c r="AO327" s="3"/>
      <c r="AP327" s="20" t="s">
        <v>183</v>
      </c>
      <c r="AQ327" s="13">
        <v>1.2</v>
      </c>
      <c r="AR327" s="72">
        <f>276.6</f>
        <v>276.60000000000002</v>
      </c>
      <c r="AS327" s="14">
        <f t="shared" si="36"/>
        <v>331.92</v>
      </c>
    </row>
    <row r="328" spans="1:45" s="5" customFormat="1" ht="54.75" customHeight="1" x14ac:dyDescent="0.2">
      <c r="A328" s="20" t="s">
        <v>230</v>
      </c>
      <c r="B328" s="13"/>
      <c r="C328" s="13">
        <v>1.2</v>
      </c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72">
        <f>152.5</f>
        <v>152.5</v>
      </c>
      <c r="AG328" s="14">
        <f t="shared" si="37"/>
        <v>183</v>
      </c>
      <c r="AH328" s="3"/>
      <c r="AI328" s="3"/>
      <c r="AJ328" s="3"/>
      <c r="AK328" s="4"/>
      <c r="AM328" s="3"/>
      <c r="AN328" s="3"/>
      <c r="AO328" s="3"/>
      <c r="AP328" s="20" t="s">
        <v>230</v>
      </c>
      <c r="AQ328" s="13">
        <v>1.2</v>
      </c>
      <c r="AR328" s="72">
        <f>152.5</f>
        <v>152.5</v>
      </c>
      <c r="AS328" s="14">
        <f t="shared" si="36"/>
        <v>183</v>
      </c>
    </row>
    <row r="329" spans="1:45" s="5" customFormat="1" ht="54.75" customHeight="1" x14ac:dyDescent="0.2">
      <c r="A329" s="20" t="s">
        <v>232</v>
      </c>
      <c r="B329" s="13"/>
      <c r="C329" s="13">
        <v>1.2</v>
      </c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72">
        <f>56.25+82.05</f>
        <v>138.30000000000001</v>
      </c>
      <c r="AG329" s="14">
        <f t="shared" si="37"/>
        <v>165.96</v>
      </c>
      <c r="AH329" s="3"/>
      <c r="AI329" s="3"/>
      <c r="AJ329" s="3"/>
      <c r="AK329" s="4"/>
      <c r="AM329" s="3"/>
      <c r="AN329" s="3"/>
      <c r="AO329" s="3"/>
      <c r="AP329" s="20" t="s">
        <v>232</v>
      </c>
      <c r="AQ329" s="13">
        <v>1.2</v>
      </c>
      <c r="AR329" s="72">
        <f>56.25+82.05</f>
        <v>138.30000000000001</v>
      </c>
      <c r="AS329" s="14">
        <f t="shared" si="36"/>
        <v>165.96</v>
      </c>
    </row>
    <row r="330" spans="1:45" s="5" customFormat="1" ht="70.5" customHeight="1" x14ac:dyDescent="0.2">
      <c r="A330" s="20" t="s">
        <v>248</v>
      </c>
      <c r="B330" s="13"/>
      <c r="C330" s="13">
        <v>1.2</v>
      </c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72">
        <f>129.1+73.25</f>
        <v>202.35</v>
      </c>
      <c r="AG330" s="14">
        <f t="shared" si="37"/>
        <v>242.82</v>
      </c>
      <c r="AH330" s="3"/>
      <c r="AI330" s="3"/>
      <c r="AJ330" s="3"/>
      <c r="AK330" s="4"/>
      <c r="AM330" s="3"/>
      <c r="AN330" s="3"/>
      <c r="AO330" s="3"/>
      <c r="AP330" s="20" t="s">
        <v>248</v>
      </c>
      <c r="AQ330" s="13">
        <v>1.2</v>
      </c>
      <c r="AR330" s="72">
        <f>129.1+73.25</f>
        <v>202.35</v>
      </c>
      <c r="AS330" s="14">
        <f t="shared" si="36"/>
        <v>242.82</v>
      </c>
    </row>
    <row r="331" spans="1:45" s="5" customFormat="1" ht="62.25" customHeight="1" x14ac:dyDescent="0.2">
      <c r="A331" s="20" t="s">
        <v>236</v>
      </c>
      <c r="B331" s="13"/>
      <c r="C331" s="13">
        <v>1.2</v>
      </c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72">
        <f>86.5</f>
        <v>86.5</v>
      </c>
      <c r="AG331" s="14">
        <f t="shared" si="37"/>
        <v>103.8</v>
      </c>
      <c r="AH331" s="3"/>
      <c r="AI331" s="3"/>
      <c r="AJ331" s="3"/>
      <c r="AK331" s="4"/>
      <c r="AM331" s="3"/>
      <c r="AN331" s="3"/>
      <c r="AO331" s="3"/>
      <c r="AP331" s="20" t="s">
        <v>236</v>
      </c>
      <c r="AQ331" s="13">
        <v>1.2</v>
      </c>
      <c r="AR331" s="72">
        <f>86.5</f>
        <v>86.5</v>
      </c>
      <c r="AS331" s="14">
        <f t="shared" si="36"/>
        <v>103.8</v>
      </c>
    </row>
    <row r="332" spans="1:45" s="5" customFormat="1" ht="58.5" customHeight="1" x14ac:dyDescent="0.2">
      <c r="A332" s="20" t="s">
        <v>238</v>
      </c>
      <c r="B332" s="13"/>
      <c r="C332" s="13">
        <v>1.2</v>
      </c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72">
        <f>155+162+183</f>
        <v>500</v>
      </c>
      <c r="AG332" s="14">
        <f t="shared" si="37"/>
        <v>600</v>
      </c>
      <c r="AH332" s="3"/>
      <c r="AI332" s="3"/>
      <c r="AJ332" s="3"/>
      <c r="AK332" s="4"/>
      <c r="AM332" s="3"/>
      <c r="AN332" s="3"/>
      <c r="AO332" s="3"/>
      <c r="AP332" s="20" t="s">
        <v>238</v>
      </c>
      <c r="AQ332" s="13">
        <v>1.2</v>
      </c>
      <c r="AR332" s="72">
        <f>155+162+183</f>
        <v>500</v>
      </c>
      <c r="AS332" s="14">
        <f t="shared" si="36"/>
        <v>600</v>
      </c>
    </row>
    <row r="333" spans="1:45" s="5" customFormat="1" ht="29.25" customHeight="1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72"/>
      <c r="AG333" s="14">
        <f>SUM(AG316:AG332)</f>
        <v>5841.0599999999995</v>
      </c>
      <c r="AH333" s="3"/>
      <c r="AI333" s="3"/>
      <c r="AJ333" s="3"/>
      <c r="AK333" s="4"/>
      <c r="AM333" s="3"/>
      <c r="AN333" s="3"/>
      <c r="AO333" s="3"/>
      <c r="AP333" s="13"/>
      <c r="AQ333" s="13"/>
      <c r="AR333" s="72"/>
      <c r="AS333" s="73">
        <f>SUM(AS316:AS332)</f>
        <v>5973.0599999999995</v>
      </c>
    </row>
    <row r="334" spans="1:45" s="5" customFormat="1" ht="38.2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G334" s="44"/>
      <c r="AH334" s="3"/>
      <c r="AI334" s="3"/>
      <c r="AJ334" s="3"/>
      <c r="AK334" s="4"/>
      <c r="AM334" s="3"/>
      <c r="AN334" s="3"/>
      <c r="AO334" s="3"/>
      <c r="AP334" s="3"/>
    </row>
    <row r="335" spans="1:45" s="5" customFormat="1" ht="38.2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G335" s="44"/>
      <c r="AH335" s="3"/>
      <c r="AI335" s="3"/>
      <c r="AJ335" s="3"/>
      <c r="AK335" s="4"/>
      <c r="AM335" s="3"/>
      <c r="AN335" s="3"/>
      <c r="AO335" s="3"/>
      <c r="AP335" s="3"/>
    </row>
    <row r="336" spans="1:45" s="5" customFormat="1" ht="38.2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G336" s="44"/>
      <c r="AH336" s="3"/>
      <c r="AI336" s="3"/>
      <c r="AJ336" s="3"/>
      <c r="AK336" s="4"/>
      <c r="AM336" s="3"/>
      <c r="AN336" s="3"/>
      <c r="AO336" s="3"/>
      <c r="AP336" s="3"/>
    </row>
    <row r="337" spans="1:42" s="5" customFormat="1" ht="38.2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G337" s="44"/>
      <c r="AH337" s="3"/>
      <c r="AI337" s="3"/>
      <c r="AJ337" s="3"/>
      <c r="AK337" s="4"/>
      <c r="AM337" s="3"/>
      <c r="AN337" s="3"/>
      <c r="AO337" s="3"/>
      <c r="AP337" s="3"/>
    </row>
    <row r="338" spans="1:42" s="5" customFormat="1" ht="38.2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G338" s="44"/>
      <c r="AH338" s="3"/>
      <c r="AI338" s="3"/>
      <c r="AJ338" s="3"/>
      <c r="AK338" s="4"/>
      <c r="AM338" s="3"/>
      <c r="AN338" s="3"/>
      <c r="AO338" s="3"/>
      <c r="AP338" s="3"/>
    </row>
    <row r="339" spans="1:42" s="5" customFormat="1" ht="38.2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G339" s="44"/>
      <c r="AH339" s="3"/>
      <c r="AI339" s="3"/>
      <c r="AJ339" s="3"/>
      <c r="AK339" s="4"/>
      <c r="AM339" s="3"/>
      <c r="AN339" s="3"/>
      <c r="AO339" s="3"/>
      <c r="AP339" s="3"/>
    </row>
    <row r="340" spans="1:42" s="5" customFormat="1" ht="38.2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G340" s="44"/>
      <c r="AH340" s="3"/>
      <c r="AI340" s="3"/>
      <c r="AJ340" s="3"/>
      <c r="AK340" s="4"/>
      <c r="AM340" s="3"/>
      <c r="AN340" s="3"/>
      <c r="AO340" s="3"/>
      <c r="AP340" s="3"/>
    </row>
    <row r="341" spans="1:42" s="5" customFormat="1" ht="38.2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G341" s="44"/>
      <c r="AH341" s="3"/>
      <c r="AI341" s="3"/>
      <c r="AJ341" s="3"/>
      <c r="AK341" s="4"/>
      <c r="AM341" s="3"/>
      <c r="AN341" s="3"/>
      <c r="AO341" s="3"/>
      <c r="AP341" s="3"/>
    </row>
    <row r="342" spans="1:42" s="5" customFormat="1" ht="38.2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G342" s="44"/>
      <c r="AH342" s="3"/>
      <c r="AI342" s="3"/>
      <c r="AJ342" s="3"/>
      <c r="AK342" s="4"/>
      <c r="AM342" s="3"/>
      <c r="AN342" s="3"/>
      <c r="AO342" s="3"/>
      <c r="AP342" s="3"/>
    </row>
    <row r="343" spans="1:42" s="5" customFormat="1" ht="38.2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G343" s="44"/>
      <c r="AH343" s="3"/>
      <c r="AI343" s="3"/>
      <c r="AJ343" s="3"/>
      <c r="AK343" s="4"/>
      <c r="AM343" s="3"/>
      <c r="AN343" s="3"/>
      <c r="AO343" s="3"/>
      <c r="AP343" s="3"/>
    </row>
    <row r="344" spans="1:42" s="5" customFormat="1" ht="38.2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G344" s="44"/>
      <c r="AH344" s="3"/>
      <c r="AI344" s="3"/>
      <c r="AJ344" s="3"/>
      <c r="AK344" s="4"/>
      <c r="AM344" s="3"/>
      <c r="AN344" s="3"/>
      <c r="AO344" s="3"/>
      <c r="AP344" s="3"/>
    </row>
    <row r="345" spans="1:42" s="5" customFormat="1" ht="38.2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G345" s="44"/>
      <c r="AH345" s="3"/>
      <c r="AI345" s="3"/>
      <c r="AJ345" s="3"/>
      <c r="AK345" s="4"/>
      <c r="AM345" s="3"/>
      <c r="AN345" s="3"/>
      <c r="AO345" s="3"/>
      <c r="AP345" s="3"/>
    </row>
    <row r="346" spans="1:42" s="5" customFormat="1" ht="38.2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G346" s="44"/>
      <c r="AH346" s="3"/>
      <c r="AI346" s="3"/>
      <c r="AJ346" s="3"/>
      <c r="AK346" s="4"/>
      <c r="AM346" s="3"/>
      <c r="AN346" s="3"/>
      <c r="AO346" s="3"/>
      <c r="AP346" s="3"/>
    </row>
    <row r="347" spans="1:42" s="5" customFormat="1" ht="38.2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G347" s="44"/>
      <c r="AH347" s="3"/>
      <c r="AI347" s="3"/>
      <c r="AJ347" s="3"/>
      <c r="AK347" s="4"/>
      <c r="AM347" s="3"/>
      <c r="AN347" s="3"/>
      <c r="AO347" s="3"/>
      <c r="AP347" s="3"/>
    </row>
    <row r="348" spans="1:42" s="5" customFormat="1" ht="38.2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G348" s="44"/>
      <c r="AH348" s="3"/>
      <c r="AI348" s="3"/>
      <c r="AJ348" s="3"/>
      <c r="AK348" s="4"/>
      <c r="AM348" s="3"/>
      <c r="AN348" s="3"/>
      <c r="AO348" s="3"/>
      <c r="AP348" s="3"/>
    </row>
    <row r="349" spans="1:42" s="5" customFormat="1" ht="38.2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G349" s="44"/>
      <c r="AH349" s="3"/>
      <c r="AI349" s="3"/>
      <c r="AJ349" s="3"/>
      <c r="AK349" s="4"/>
      <c r="AM349" s="3"/>
      <c r="AN349" s="3"/>
      <c r="AO349" s="3"/>
      <c r="AP349" s="3"/>
    </row>
    <row r="350" spans="1:42" s="5" customFormat="1" ht="38.2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G350" s="44"/>
      <c r="AH350" s="3"/>
      <c r="AI350" s="3"/>
      <c r="AJ350" s="3"/>
      <c r="AK350" s="4"/>
      <c r="AM350" s="3"/>
      <c r="AN350" s="3"/>
      <c r="AO350" s="3"/>
      <c r="AP350" s="3"/>
    </row>
    <row r="351" spans="1:42" s="5" customFormat="1" ht="38.2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G351" s="44"/>
      <c r="AH351" s="3"/>
      <c r="AI351" s="3"/>
      <c r="AJ351" s="3"/>
      <c r="AK351" s="4"/>
      <c r="AM351" s="3"/>
      <c r="AN351" s="3"/>
      <c r="AO351" s="3"/>
      <c r="AP351" s="3"/>
    </row>
    <row r="352" spans="1:42" s="5" customFormat="1" ht="38.2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G352" s="44"/>
      <c r="AH352" s="3"/>
      <c r="AI352" s="3"/>
      <c r="AJ352" s="3"/>
      <c r="AK352" s="4"/>
      <c r="AM352" s="3"/>
      <c r="AN352" s="3"/>
      <c r="AO352" s="3"/>
      <c r="AP352" s="3"/>
    </row>
    <row r="353" spans="1:45" s="5" customFormat="1" ht="38.2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G353" s="44"/>
      <c r="AH353" s="3"/>
      <c r="AI353" s="3"/>
      <c r="AJ353" s="3"/>
      <c r="AK353" s="4"/>
      <c r="AM353" s="3"/>
      <c r="AN353" s="3"/>
      <c r="AO353" s="3"/>
      <c r="AP353" s="3"/>
    </row>
    <row r="354" spans="1:45" s="5" customFormat="1" ht="38.2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G354" s="44"/>
      <c r="AH354" s="3"/>
      <c r="AI354" s="3"/>
      <c r="AJ354" s="3"/>
      <c r="AK354" s="4"/>
      <c r="AM354" s="3"/>
      <c r="AN354" s="3"/>
      <c r="AO354" s="3"/>
      <c r="AP354" s="3"/>
    </row>
    <row r="355" spans="1:45" s="5" customFormat="1" ht="24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G355" s="44"/>
      <c r="AH355" s="3"/>
      <c r="AI355" s="3"/>
      <c r="AJ355" s="3"/>
      <c r="AK355" s="4"/>
      <c r="AL355" s="13">
        <v>1.2</v>
      </c>
      <c r="AM355" s="72">
        <f>26.7+26.6</f>
        <v>53.3</v>
      </c>
      <c r="AN355" s="14">
        <f t="shared" ref="AN355:AN371" si="38">AL355*AM355</f>
        <v>63.959999999999994</v>
      </c>
      <c r="AP355" s="13">
        <v>1.2</v>
      </c>
      <c r="AQ355" s="72">
        <f>26.7+26.6</f>
        <v>53.3</v>
      </c>
      <c r="AR355" s="14">
        <f t="shared" ref="AR355:AR371" si="39">AP355*AQ355</f>
        <v>63.959999999999994</v>
      </c>
      <c r="AS355" s="3"/>
    </row>
    <row r="356" spans="1:45" s="5" customFormat="1" ht="24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G356" s="44"/>
      <c r="AH356" s="3"/>
      <c r="AI356" s="3"/>
      <c r="AJ356" s="3"/>
      <c r="AK356" s="4"/>
      <c r="AL356" s="13">
        <v>1.2</v>
      </c>
      <c r="AM356" s="72">
        <f>37.5+82.5</f>
        <v>120</v>
      </c>
      <c r="AN356" s="14"/>
      <c r="AP356" s="13">
        <v>1.2</v>
      </c>
      <c r="AQ356" s="72">
        <f>37.5+82.5</f>
        <v>120</v>
      </c>
      <c r="AR356" s="14">
        <f t="shared" si="39"/>
        <v>144</v>
      </c>
      <c r="AS356" s="3"/>
    </row>
    <row r="357" spans="1:45" s="5" customFormat="1" ht="24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G357" s="44"/>
      <c r="AH357" s="3"/>
      <c r="AI357" s="3"/>
      <c r="AJ357" s="3"/>
      <c r="AK357" s="4"/>
      <c r="AL357" s="13">
        <v>1.2</v>
      </c>
      <c r="AM357" s="72">
        <f>136.65+320.8+791.6+71.25+67.5+110</f>
        <v>1497.8000000000002</v>
      </c>
      <c r="AN357" s="14">
        <f t="shared" si="38"/>
        <v>1797.3600000000001</v>
      </c>
      <c r="AP357" s="13">
        <v>1.2</v>
      </c>
      <c r="AQ357" s="72">
        <f>136.65+320.8+791.6+71.25+67.5+110</f>
        <v>1497.8000000000002</v>
      </c>
      <c r="AR357" s="14">
        <f t="shared" si="39"/>
        <v>1797.3600000000001</v>
      </c>
      <c r="AS357" s="3"/>
    </row>
    <row r="358" spans="1:45" s="5" customFormat="1" ht="18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G358" s="44"/>
      <c r="AH358" s="3"/>
      <c r="AI358" s="3"/>
      <c r="AJ358" s="3"/>
      <c r="AK358" s="4"/>
      <c r="AL358" s="13">
        <v>1.2</v>
      </c>
      <c r="AM358" s="72">
        <f>108.3</f>
        <v>108.3</v>
      </c>
      <c r="AN358" s="14">
        <f t="shared" si="38"/>
        <v>129.95999999999998</v>
      </c>
      <c r="AP358" s="13">
        <v>1.2</v>
      </c>
      <c r="AQ358" s="72">
        <f>108.3</f>
        <v>108.3</v>
      </c>
      <c r="AR358" s="14">
        <f t="shared" si="39"/>
        <v>129.95999999999998</v>
      </c>
      <c r="AS358" s="3"/>
    </row>
    <row r="359" spans="1:45" s="5" customFormat="1" ht="18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G359" s="44"/>
      <c r="AH359" s="3"/>
      <c r="AI359" s="3"/>
      <c r="AJ359" s="3"/>
      <c r="AK359" s="4"/>
      <c r="AL359" s="13">
        <v>1.2</v>
      </c>
      <c r="AM359" s="72">
        <f>21.3</f>
        <v>21.3</v>
      </c>
      <c r="AN359" s="14">
        <f t="shared" si="38"/>
        <v>25.56</v>
      </c>
      <c r="AP359" s="13">
        <v>1.2</v>
      </c>
      <c r="AQ359" s="72">
        <f>21.3</f>
        <v>21.3</v>
      </c>
      <c r="AR359" s="14">
        <f t="shared" si="39"/>
        <v>25.56</v>
      </c>
      <c r="AS359" s="3"/>
    </row>
    <row r="360" spans="1:45" s="5" customFormat="1" ht="18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G360" s="44"/>
      <c r="AH360" s="3"/>
      <c r="AI360" s="3"/>
      <c r="AJ360" s="3"/>
      <c r="AK360" s="4"/>
      <c r="AL360" s="13">
        <v>1.2</v>
      </c>
      <c r="AM360" s="72">
        <f>136.6+47.35</f>
        <v>183.95</v>
      </c>
      <c r="AN360" s="14">
        <f t="shared" si="38"/>
        <v>220.73999999999998</v>
      </c>
      <c r="AP360" s="13">
        <v>1.2</v>
      </c>
      <c r="AQ360" s="72">
        <f>136.6+47.35</f>
        <v>183.95</v>
      </c>
      <c r="AR360" s="14">
        <f t="shared" si="39"/>
        <v>220.73999999999998</v>
      </c>
      <c r="AS360" s="3"/>
    </row>
    <row r="361" spans="1:45" s="5" customFormat="1" ht="18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G361" s="44"/>
      <c r="AH361" s="3"/>
      <c r="AI361" s="3"/>
      <c r="AJ361" s="3"/>
      <c r="AK361" s="4"/>
      <c r="AL361" s="13">
        <v>1.2</v>
      </c>
      <c r="AM361" s="72">
        <f>798.3+67.45+495</f>
        <v>1360.75</v>
      </c>
      <c r="AN361" s="14">
        <f t="shared" si="38"/>
        <v>1632.8999999999999</v>
      </c>
      <c r="AP361" s="13">
        <v>1.2</v>
      </c>
      <c r="AQ361" s="72">
        <f>798.3+67.45+495</f>
        <v>1360.75</v>
      </c>
      <c r="AR361" s="14">
        <f t="shared" si="39"/>
        <v>1632.8999999999999</v>
      </c>
      <c r="AS361" s="3"/>
    </row>
    <row r="362" spans="1:45" s="5" customFormat="1" ht="18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G362" s="44"/>
      <c r="AH362" s="3"/>
      <c r="AI362" s="3"/>
      <c r="AJ362" s="3"/>
      <c r="AK362" s="4"/>
      <c r="AL362" s="13">
        <v>1.2</v>
      </c>
      <c r="AM362" s="72">
        <f>113.4</f>
        <v>113.4</v>
      </c>
      <c r="AN362" s="14"/>
      <c r="AP362" s="13">
        <v>1.2</v>
      </c>
      <c r="AQ362" s="72">
        <f>113.4</f>
        <v>113.4</v>
      </c>
      <c r="AR362" s="14">
        <f t="shared" si="39"/>
        <v>136.08000000000001</v>
      </c>
      <c r="AS362" s="3"/>
    </row>
    <row r="363" spans="1:45" s="5" customFormat="1" ht="18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G363" s="44"/>
      <c r="AH363" s="3"/>
      <c r="AI363" s="3"/>
      <c r="AJ363" s="3"/>
      <c r="AK363" s="4"/>
      <c r="AL363" s="13">
        <v>1.2</v>
      </c>
      <c r="AM363" s="72">
        <f>81.25</f>
        <v>81.25</v>
      </c>
      <c r="AN363" s="14"/>
      <c r="AP363" s="13">
        <v>1.2</v>
      </c>
      <c r="AQ363" s="72">
        <f>81.25</f>
        <v>81.25</v>
      </c>
      <c r="AR363" s="14">
        <f t="shared" si="39"/>
        <v>97.5</v>
      </c>
      <c r="AS363" s="3"/>
    </row>
    <row r="364" spans="1:45" s="5" customFormat="1" ht="18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G364" s="44"/>
      <c r="AH364" s="3"/>
      <c r="AI364" s="3"/>
      <c r="AJ364" s="3"/>
      <c r="AK364" s="4"/>
      <c r="AL364" s="13">
        <v>1.2</v>
      </c>
      <c r="AM364" s="72">
        <f>34.9</f>
        <v>34.9</v>
      </c>
      <c r="AN364" s="14"/>
      <c r="AP364" s="13">
        <v>1.2</v>
      </c>
      <c r="AQ364" s="72">
        <f>34.9</f>
        <v>34.9</v>
      </c>
      <c r="AR364" s="14">
        <f t="shared" si="39"/>
        <v>41.879999999999995</v>
      </c>
      <c r="AS364" s="3"/>
    </row>
    <row r="365" spans="1:45" s="5" customFormat="1" ht="18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G365" s="44"/>
      <c r="AH365" s="3"/>
      <c r="AI365" s="3"/>
      <c r="AJ365" s="3"/>
      <c r="AK365" s="4"/>
      <c r="AL365" s="13">
        <v>1.2</v>
      </c>
      <c r="AM365" s="72">
        <f>23.95+22.4</f>
        <v>46.349999999999994</v>
      </c>
      <c r="AN365" s="14"/>
      <c r="AP365" s="13">
        <v>1.2</v>
      </c>
      <c r="AQ365" s="72">
        <f>23.95+22.4</f>
        <v>46.349999999999994</v>
      </c>
      <c r="AR365" s="14">
        <f t="shared" si="39"/>
        <v>55.61999999999999</v>
      </c>
      <c r="AS365" s="3"/>
    </row>
    <row r="366" spans="1:45" s="5" customFormat="1" ht="18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G366" s="44"/>
      <c r="AH366" s="3"/>
      <c r="AI366" s="3"/>
      <c r="AJ366" s="3"/>
      <c r="AK366" s="4"/>
      <c r="AL366" s="13">
        <v>1.2</v>
      </c>
      <c r="AM366" s="72">
        <f>276.6</f>
        <v>276.60000000000002</v>
      </c>
      <c r="AN366" s="14"/>
      <c r="AP366" s="13">
        <v>1.2</v>
      </c>
      <c r="AQ366" s="72">
        <f>276.6</f>
        <v>276.60000000000002</v>
      </c>
      <c r="AR366" s="14">
        <f t="shared" si="39"/>
        <v>331.92</v>
      </c>
      <c r="AS366" s="3"/>
    </row>
    <row r="367" spans="1:45" s="5" customFormat="1" ht="18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G367" s="44"/>
      <c r="AH367" s="3"/>
      <c r="AI367" s="3"/>
      <c r="AJ367" s="3"/>
      <c r="AK367" s="4"/>
      <c r="AL367" s="13">
        <v>1.2</v>
      </c>
      <c r="AM367" s="72">
        <f>152.5</f>
        <v>152.5</v>
      </c>
      <c r="AN367" s="14">
        <f t="shared" si="38"/>
        <v>183</v>
      </c>
      <c r="AP367" s="13">
        <v>1.2</v>
      </c>
      <c r="AQ367" s="72">
        <f>152.5</f>
        <v>152.5</v>
      </c>
      <c r="AR367" s="14">
        <f t="shared" si="39"/>
        <v>183</v>
      </c>
      <c r="AS367" s="3"/>
    </row>
    <row r="368" spans="1:45" s="5" customFormat="1" ht="18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G368" s="44"/>
      <c r="AH368" s="3"/>
      <c r="AI368" s="3"/>
      <c r="AJ368" s="3"/>
      <c r="AK368" s="4"/>
      <c r="AL368" s="13">
        <v>1.2</v>
      </c>
      <c r="AM368" s="72">
        <f>56.25+82.05</f>
        <v>138.30000000000001</v>
      </c>
      <c r="AN368" s="14"/>
      <c r="AP368" s="13">
        <v>1.2</v>
      </c>
      <c r="AQ368" s="72">
        <f>56.25+82.05</f>
        <v>138.30000000000001</v>
      </c>
      <c r="AR368" s="14">
        <f t="shared" si="39"/>
        <v>165.96</v>
      </c>
      <c r="AS368" s="3"/>
    </row>
    <row r="369" spans="1:45" s="5" customFormat="1" ht="18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G369" s="44"/>
      <c r="AH369" s="3"/>
      <c r="AI369" s="3"/>
      <c r="AJ369" s="3"/>
      <c r="AK369" s="4"/>
      <c r="AL369" s="13">
        <v>1.2</v>
      </c>
      <c r="AM369" s="72">
        <f>129.1+73.25</f>
        <v>202.35</v>
      </c>
      <c r="AN369" s="14">
        <f t="shared" si="38"/>
        <v>242.82</v>
      </c>
      <c r="AP369" s="13">
        <v>1.2</v>
      </c>
      <c r="AQ369" s="72">
        <f>129.1+73.25</f>
        <v>202.35</v>
      </c>
      <c r="AR369" s="14">
        <f t="shared" si="39"/>
        <v>242.82</v>
      </c>
      <c r="AS369" s="3"/>
    </row>
    <row r="370" spans="1:45" s="5" customFormat="1" ht="18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G370" s="44"/>
      <c r="AH370" s="3"/>
      <c r="AI370" s="3"/>
      <c r="AJ370" s="3"/>
      <c r="AK370" s="4"/>
      <c r="AL370" s="13">
        <v>1.2</v>
      </c>
      <c r="AM370" s="72">
        <f>86.5</f>
        <v>86.5</v>
      </c>
      <c r="AN370" s="14">
        <f t="shared" si="38"/>
        <v>103.8</v>
      </c>
      <c r="AP370" s="13">
        <v>1.2</v>
      </c>
      <c r="AQ370" s="72">
        <f>86.5</f>
        <v>86.5</v>
      </c>
      <c r="AR370" s="14">
        <f t="shared" si="39"/>
        <v>103.8</v>
      </c>
      <c r="AS370" s="3"/>
    </row>
    <row r="371" spans="1:45" s="5" customFormat="1" ht="18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G371" s="44"/>
      <c r="AH371" s="3"/>
      <c r="AI371" s="3"/>
      <c r="AJ371" s="3"/>
      <c r="AK371" s="4"/>
      <c r="AL371" s="13">
        <v>1.2</v>
      </c>
      <c r="AM371" s="72">
        <f>155+162+183</f>
        <v>500</v>
      </c>
      <c r="AN371" s="14">
        <f t="shared" si="38"/>
        <v>600</v>
      </c>
      <c r="AP371" s="13">
        <v>1.2</v>
      </c>
      <c r="AQ371" s="72">
        <f>155+162+183</f>
        <v>500</v>
      </c>
      <c r="AR371" s="14">
        <f t="shared" si="39"/>
        <v>600</v>
      </c>
      <c r="AS371" s="3"/>
    </row>
    <row r="372" spans="1:45" s="5" customFormat="1" ht="18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G372" s="44"/>
      <c r="AH372" s="3"/>
      <c r="AI372" s="3"/>
      <c r="AJ372" s="3"/>
      <c r="AK372" s="4"/>
      <c r="AL372" s="13"/>
      <c r="AM372" s="72"/>
      <c r="AN372" s="73">
        <f>SUM(AN355:AN371)</f>
        <v>5000.0999999999995</v>
      </c>
      <c r="AP372" s="13"/>
      <c r="AQ372" s="72"/>
      <c r="AR372" s="73">
        <f>SUM(AR355:AR371)</f>
        <v>5973.0599999999995</v>
      </c>
      <c r="AS372" s="3"/>
    </row>
    <row r="373" spans="1:45" s="5" customFormat="1" ht="38.2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G373" s="44"/>
      <c r="AH373" s="3"/>
      <c r="AI373" s="3"/>
      <c r="AJ373" s="3"/>
      <c r="AK373" s="4"/>
      <c r="AM373" s="3"/>
      <c r="AN373" s="3"/>
      <c r="AO373" s="3"/>
      <c r="AP373" s="3"/>
    </row>
    <row r="374" spans="1:45" s="5" customFormat="1" ht="38.2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G374" s="44"/>
      <c r="AH374" s="3"/>
      <c r="AI374" s="3"/>
      <c r="AJ374" s="3"/>
      <c r="AK374" s="4"/>
      <c r="AM374" s="3"/>
      <c r="AN374" s="3"/>
      <c r="AO374" s="3"/>
      <c r="AP374" s="3"/>
    </row>
    <row r="375" spans="1:45" s="5" customFormat="1" ht="38.2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G375" s="44"/>
      <c r="AH375" s="3"/>
      <c r="AI375" s="3"/>
      <c r="AJ375" s="3"/>
      <c r="AK375" s="4"/>
      <c r="AM375" s="3"/>
      <c r="AN375" s="3"/>
      <c r="AO375" s="3"/>
      <c r="AP375" s="3"/>
    </row>
    <row r="376" spans="1:45" s="5" customFormat="1" ht="38.2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G376" s="44"/>
      <c r="AH376" s="3"/>
      <c r="AI376" s="3"/>
      <c r="AJ376" s="3"/>
      <c r="AK376" s="4"/>
      <c r="AM376" s="3"/>
      <c r="AN376" s="3"/>
      <c r="AO376" s="3"/>
      <c r="AP376" s="3"/>
    </row>
    <row r="377" spans="1:45" s="5" customFormat="1" ht="38.2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G377" s="44"/>
      <c r="AH377" s="3"/>
      <c r="AI377" s="3"/>
      <c r="AJ377" s="3"/>
      <c r="AK377" s="4"/>
      <c r="AM377" s="3"/>
      <c r="AN377" s="3"/>
      <c r="AO377" s="3"/>
      <c r="AP377" s="3"/>
    </row>
    <row r="378" spans="1:45" s="5" customFormat="1" ht="38.2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G378" s="44"/>
      <c r="AH378" s="3"/>
      <c r="AI378" s="3"/>
      <c r="AJ378" s="3"/>
      <c r="AK378" s="4"/>
      <c r="AM378" s="3"/>
      <c r="AN378" s="3"/>
      <c r="AO378" s="3"/>
      <c r="AP378" s="3"/>
    </row>
    <row r="379" spans="1:45" s="5" customFormat="1" ht="38.2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G379" s="44"/>
      <c r="AH379" s="3"/>
      <c r="AI379" s="3"/>
      <c r="AJ379" s="3"/>
      <c r="AK379" s="4"/>
      <c r="AM379" s="3"/>
      <c r="AN379" s="3"/>
      <c r="AO379" s="3"/>
      <c r="AP379" s="3"/>
    </row>
    <row r="380" spans="1:45" s="5" customFormat="1" ht="38.2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G380" s="44"/>
      <c r="AH380" s="3"/>
      <c r="AI380" s="3"/>
      <c r="AJ380" s="3"/>
      <c r="AK380" s="4"/>
      <c r="AM380" s="3"/>
      <c r="AN380" s="3"/>
      <c r="AO380" s="3"/>
      <c r="AP380" s="3"/>
    </row>
    <row r="381" spans="1:45" s="5" customFormat="1" ht="38.2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G381" s="44"/>
      <c r="AH381" s="3"/>
      <c r="AI381" s="3"/>
      <c r="AJ381" s="3"/>
      <c r="AK381" s="4"/>
      <c r="AM381" s="3"/>
      <c r="AN381" s="3"/>
      <c r="AO381" s="3"/>
      <c r="AP381" s="3"/>
    </row>
    <row r="382" spans="1:45" s="5" customFormat="1" ht="38.2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G382" s="44"/>
      <c r="AH382" s="3"/>
      <c r="AI382" s="3"/>
      <c r="AJ382" s="3"/>
      <c r="AK382" s="4"/>
      <c r="AM382" s="3"/>
      <c r="AN382" s="3"/>
      <c r="AO382" s="3"/>
      <c r="AP382" s="3"/>
    </row>
    <row r="383" spans="1:45" s="5" customFormat="1" ht="38.2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G383" s="44"/>
      <c r="AH383" s="3"/>
      <c r="AI383" s="3"/>
      <c r="AJ383" s="3"/>
      <c r="AK383" s="4"/>
      <c r="AM383" s="3"/>
      <c r="AN383" s="3"/>
      <c r="AO383" s="3"/>
      <c r="AP383" s="3"/>
    </row>
    <row r="384" spans="1:45" s="5" customFormat="1" ht="38.2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G384" s="44"/>
      <c r="AH384" s="3"/>
      <c r="AI384" s="3"/>
      <c r="AJ384" s="3"/>
      <c r="AK384" s="4"/>
      <c r="AM384" s="3"/>
      <c r="AN384" s="3"/>
      <c r="AO384" s="3"/>
      <c r="AP384" s="3"/>
    </row>
    <row r="385" spans="1:42" s="5" customFormat="1" ht="38.2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G385" s="44"/>
      <c r="AH385" s="3"/>
      <c r="AI385" s="3"/>
      <c r="AJ385" s="3"/>
      <c r="AK385" s="4"/>
      <c r="AM385" s="3"/>
      <c r="AN385" s="3"/>
      <c r="AO385" s="3"/>
      <c r="AP385" s="3"/>
    </row>
    <row r="386" spans="1:42" s="5" customFormat="1" ht="38.2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G386" s="44"/>
      <c r="AH386" s="3"/>
      <c r="AI386" s="3"/>
      <c r="AJ386" s="3"/>
      <c r="AK386" s="4"/>
      <c r="AM386" s="3"/>
      <c r="AN386" s="3"/>
      <c r="AO386" s="3"/>
      <c r="AP386" s="3"/>
    </row>
    <row r="387" spans="1:42" s="5" customFormat="1" ht="38.2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G387" s="44"/>
      <c r="AH387" s="3"/>
      <c r="AI387" s="3"/>
      <c r="AJ387" s="3"/>
      <c r="AK387" s="4"/>
      <c r="AM387" s="3"/>
      <c r="AN387" s="3"/>
      <c r="AO387" s="3"/>
      <c r="AP387" s="3"/>
    </row>
    <row r="388" spans="1:42" s="5" customFormat="1" ht="38.2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G388" s="44"/>
      <c r="AH388" s="3"/>
      <c r="AI388" s="3"/>
      <c r="AJ388" s="3"/>
      <c r="AK388" s="4"/>
      <c r="AM388" s="3"/>
      <c r="AN388" s="3"/>
      <c r="AO388" s="3"/>
      <c r="AP388" s="3"/>
    </row>
    <row r="389" spans="1:42" s="5" customFormat="1" ht="38.2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G389" s="44"/>
      <c r="AH389" s="3"/>
      <c r="AI389" s="3"/>
      <c r="AJ389" s="3"/>
      <c r="AK389" s="4"/>
      <c r="AM389" s="3"/>
      <c r="AN389" s="3"/>
      <c r="AO389" s="3"/>
      <c r="AP389" s="3"/>
    </row>
    <row r="390" spans="1:42" s="5" customFormat="1" ht="38.2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G390" s="44"/>
      <c r="AH390" s="3"/>
      <c r="AI390" s="3"/>
      <c r="AJ390" s="3"/>
      <c r="AK390" s="4"/>
      <c r="AM390" s="3"/>
      <c r="AN390" s="3"/>
      <c r="AO390" s="3"/>
      <c r="AP390" s="3"/>
    </row>
    <row r="391" spans="1:42" s="5" customFormat="1" ht="38.2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G391" s="44"/>
      <c r="AH391" s="3"/>
      <c r="AI391" s="3"/>
      <c r="AJ391" s="3"/>
      <c r="AK391" s="4"/>
      <c r="AM391" s="3"/>
      <c r="AN391" s="3"/>
      <c r="AO391" s="3"/>
      <c r="AP391" s="3"/>
    </row>
    <row r="392" spans="1:42" s="5" customFormat="1" ht="38.2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G392" s="44"/>
      <c r="AH392" s="3"/>
      <c r="AI392" s="3"/>
      <c r="AJ392" s="3"/>
      <c r="AK392" s="4"/>
      <c r="AM392" s="3"/>
      <c r="AN392" s="3"/>
      <c r="AO392" s="3"/>
      <c r="AP392" s="3"/>
    </row>
    <row r="393" spans="1:42" s="5" customFormat="1" ht="38.2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G393" s="44"/>
      <c r="AH393" s="3"/>
      <c r="AI393" s="3"/>
      <c r="AJ393" s="3"/>
      <c r="AK393" s="4"/>
      <c r="AM393" s="3"/>
      <c r="AN393" s="3"/>
      <c r="AO393" s="3"/>
      <c r="AP393" s="3"/>
    </row>
    <row r="394" spans="1:42" s="5" customFormat="1" ht="38.2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G394" s="44"/>
      <c r="AH394" s="3"/>
      <c r="AI394" s="3"/>
      <c r="AJ394" s="3"/>
      <c r="AK394" s="4"/>
      <c r="AM394" s="3"/>
      <c r="AN394" s="3"/>
      <c r="AO394" s="3"/>
      <c r="AP394" s="3"/>
    </row>
    <row r="395" spans="1:42" s="5" customFormat="1" ht="38.2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G395" s="44"/>
      <c r="AH395" s="3"/>
      <c r="AI395" s="3"/>
      <c r="AJ395" s="3"/>
      <c r="AK395" s="4"/>
      <c r="AM395" s="3"/>
      <c r="AN395" s="3"/>
      <c r="AO395" s="3"/>
      <c r="AP395" s="3"/>
    </row>
    <row r="396" spans="1:42" s="5" customFormat="1" ht="38.2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G396" s="44"/>
      <c r="AH396" s="3"/>
      <c r="AI396" s="3"/>
      <c r="AJ396" s="3"/>
      <c r="AK396" s="4"/>
      <c r="AM396" s="3"/>
      <c r="AN396" s="3"/>
      <c r="AO396" s="3"/>
      <c r="AP396" s="3"/>
    </row>
    <row r="397" spans="1:42" s="5" customFormat="1" ht="38.2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G397" s="44"/>
      <c r="AH397" s="3"/>
      <c r="AI397" s="3"/>
      <c r="AJ397" s="3"/>
      <c r="AK397" s="4"/>
      <c r="AM397" s="3"/>
      <c r="AN397" s="3"/>
      <c r="AO397" s="3"/>
      <c r="AP397" s="3"/>
    </row>
    <row r="398" spans="1:42" s="5" customFormat="1" ht="38.2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G398" s="44"/>
      <c r="AH398" s="3"/>
      <c r="AI398" s="3"/>
      <c r="AJ398" s="3"/>
      <c r="AK398" s="4"/>
      <c r="AM398" s="3"/>
      <c r="AN398" s="3"/>
      <c r="AO398" s="3"/>
      <c r="AP398" s="3"/>
    </row>
    <row r="399" spans="1:42" s="5" customFormat="1" ht="38.2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G399" s="44"/>
      <c r="AH399" s="3"/>
      <c r="AI399" s="3"/>
      <c r="AJ399" s="3"/>
      <c r="AK399" s="4"/>
      <c r="AM399" s="3"/>
      <c r="AN399" s="3"/>
      <c r="AO399" s="3"/>
      <c r="AP399" s="3"/>
    </row>
    <row r="400" spans="1:42" s="5" customFormat="1" ht="38.2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G400" s="44"/>
      <c r="AH400" s="3"/>
      <c r="AI400" s="3"/>
      <c r="AJ400" s="3"/>
      <c r="AK400" s="4"/>
      <c r="AM400" s="3"/>
      <c r="AN400" s="3"/>
      <c r="AO400" s="3"/>
      <c r="AP400" s="3"/>
    </row>
    <row r="401" spans="1:42" s="5" customFormat="1" ht="38.2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G401" s="44"/>
      <c r="AH401" s="3"/>
      <c r="AI401" s="3"/>
      <c r="AJ401" s="3"/>
      <c r="AK401" s="4"/>
      <c r="AM401" s="3"/>
      <c r="AN401" s="3"/>
      <c r="AO401" s="3"/>
      <c r="AP401" s="3"/>
    </row>
    <row r="402" spans="1:42" s="5" customFormat="1" ht="38.2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G402" s="44"/>
      <c r="AH402" s="3"/>
      <c r="AI402" s="3"/>
      <c r="AJ402" s="3"/>
      <c r="AK402" s="4"/>
      <c r="AM402" s="3"/>
      <c r="AN402" s="3"/>
      <c r="AO402" s="3"/>
      <c r="AP402" s="3"/>
    </row>
    <row r="403" spans="1:42" s="5" customFormat="1" ht="38.2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G403" s="44"/>
      <c r="AH403" s="3"/>
      <c r="AI403" s="3"/>
      <c r="AJ403" s="3"/>
      <c r="AK403" s="4"/>
      <c r="AM403" s="3"/>
      <c r="AN403" s="3"/>
      <c r="AO403" s="3"/>
      <c r="AP403" s="3"/>
    </row>
    <row r="404" spans="1:42" s="5" customFormat="1" ht="38.2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G404" s="44"/>
      <c r="AH404" s="3"/>
      <c r="AI404" s="3"/>
      <c r="AJ404" s="3"/>
      <c r="AK404" s="4"/>
      <c r="AM404" s="3"/>
      <c r="AN404" s="3"/>
      <c r="AO404" s="3"/>
      <c r="AP404" s="3"/>
    </row>
    <row r="405" spans="1:42" s="5" customFormat="1" ht="38.2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G405" s="44"/>
      <c r="AH405" s="3"/>
      <c r="AI405" s="3"/>
      <c r="AJ405" s="3"/>
      <c r="AK405" s="4"/>
      <c r="AM405" s="3"/>
      <c r="AN405" s="3"/>
      <c r="AO405" s="3"/>
      <c r="AP405" s="3"/>
    </row>
    <row r="406" spans="1:42" s="5" customFormat="1" ht="38.2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G406" s="44"/>
      <c r="AH406" s="3"/>
      <c r="AI406" s="3"/>
      <c r="AJ406" s="3"/>
      <c r="AK406" s="4"/>
      <c r="AM406" s="3"/>
      <c r="AN406" s="3"/>
      <c r="AO406" s="3"/>
      <c r="AP406" s="3"/>
    </row>
    <row r="407" spans="1:42" s="5" customFormat="1" ht="38.2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G407" s="44"/>
      <c r="AH407" s="3"/>
      <c r="AI407" s="3"/>
      <c r="AJ407" s="3"/>
      <c r="AK407" s="4"/>
      <c r="AM407" s="3"/>
      <c r="AN407" s="3"/>
      <c r="AO407" s="3"/>
      <c r="AP407" s="3"/>
    </row>
    <row r="408" spans="1:42" s="5" customFormat="1" ht="38.2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G408" s="44"/>
      <c r="AH408" s="3"/>
      <c r="AI408" s="3"/>
      <c r="AJ408" s="3"/>
      <c r="AK408" s="4"/>
      <c r="AM408" s="3"/>
      <c r="AN408" s="3"/>
      <c r="AO408" s="3"/>
      <c r="AP408" s="3"/>
    </row>
    <row r="409" spans="1:42" s="5" customFormat="1" ht="38.2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G409" s="44"/>
      <c r="AH409" s="3"/>
      <c r="AI409" s="3"/>
      <c r="AJ409" s="3"/>
      <c r="AK409" s="4"/>
      <c r="AM409" s="3"/>
      <c r="AN409" s="3"/>
      <c r="AO409" s="3"/>
      <c r="AP409" s="3"/>
    </row>
    <row r="410" spans="1:42" s="5" customFormat="1" ht="38.2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G410" s="44"/>
      <c r="AH410" s="3"/>
      <c r="AI410" s="3"/>
      <c r="AJ410" s="3"/>
      <c r="AK410" s="4"/>
      <c r="AM410" s="3"/>
      <c r="AN410" s="3"/>
      <c r="AO410" s="3"/>
      <c r="AP410" s="3"/>
    </row>
    <row r="411" spans="1:42" s="5" customFormat="1" ht="38.2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G411" s="44"/>
      <c r="AH411" s="3"/>
      <c r="AI411" s="3"/>
      <c r="AJ411" s="3"/>
      <c r="AK411" s="4"/>
      <c r="AM411" s="3"/>
      <c r="AN411" s="3"/>
      <c r="AO411" s="3"/>
      <c r="AP411" s="3"/>
    </row>
    <row r="412" spans="1:42" s="5" customFormat="1" ht="38.2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G412" s="44"/>
      <c r="AH412" s="3"/>
      <c r="AI412" s="3"/>
      <c r="AJ412" s="3"/>
      <c r="AK412" s="4"/>
      <c r="AM412" s="3"/>
      <c r="AN412" s="3"/>
      <c r="AO412" s="3"/>
      <c r="AP412" s="3"/>
    </row>
    <row r="413" spans="1:42" s="5" customFormat="1" ht="38.2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G413" s="44"/>
      <c r="AH413" s="3"/>
      <c r="AI413" s="3"/>
      <c r="AJ413" s="3"/>
      <c r="AK413" s="4"/>
      <c r="AM413" s="3"/>
      <c r="AN413" s="3"/>
      <c r="AO413" s="3"/>
      <c r="AP413" s="3"/>
    </row>
    <row r="414" spans="1:42" s="5" customFormat="1" ht="38.2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G414" s="44"/>
      <c r="AH414" s="3"/>
      <c r="AI414" s="3"/>
      <c r="AJ414" s="3"/>
      <c r="AK414" s="4"/>
      <c r="AM414" s="3"/>
      <c r="AN414" s="3"/>
      <c r="AO414" s="3"/>
      <c r="AP414" s="3"/>
    </row>
    <row r="415" spans="1:42" s="5" customFormat="1" ht="38.2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G415" s="44"/>
      <c r="AH415" s="3"/>
      <c r="AI415" s="3"/>
      <c r="AJ415" s="3"/>
      <c r="AK415" s="4"/>
      <c r="AM415" s="3"/>
      <c r="AN415" s="3"/>
      <c r="AO415" s="3"/>
      <c r="AP415" s="3"/>
    </row>
    <row r="416" spans="1:42" s="5" customFormat="1" ht="38.2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G416" s="44"/>
      <c r="AH416" s="3"/>
      <c r="AI416" s="3"/>
      <c r="AJ416" s="3"/>
      <c r="AK416" s="4"/>
      <c r="AM416" s="3"/>
      <c r="AN416" s="3"/>
      <c r="AO416" s="3"/>
      <c r="AP416" s="3"/>
    </row>
    <row r="417" spans="1:42" s="5" customFormat="1" ht="38.2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G417" s="44"/>
      <c r="AH417" s="3"/>
      <c r="AI417" s="3"/>
      <c r="AJ417" s="3"/>
      <c r="AK417" s="4"/>
      <c r="AM417" s="3"/>
      <c r="AN417" s="3"/>
      <c r="AO417" s="3"/>
      <c r="AP417" s="3"/>
    </row>
    <row r="418" spans="1:42" s="5" customFormat="1" ht="38.2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G418" s="44"/>
      <c r="AH418" s="3"/>
      <c r="AI418" s="3"/>
      <c r="AJ418" s="3"/>
      <c r="AK418" s="4"/>
      <c r="AM418" s="3"/>
      <c r="AN418" s="3"/>
      <c r="AO418" s="3"/>
      <c r="AP418" s="3"/>
    </row>
    <row r="419" spans="1:42" s="5" customFormat="1" ht="38.2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G419" s="44"/>
      <c r="AH419" s="3"/>
      <c r="AI419" s="3"/>
      <c r="AJ419" s="3"/>
      <c r="AK419" s="4"/>
      <c r="AM419" s="3"/>
      <c r="AN419" s="3"/>
      <c r="AO419" s="3"/>
      <c r="AP419" s="3"/>
    </row>
    <row r="420" spans="1:42" s="5" customFormat="1" ht="38.2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G420" s="44"/>
      <c r="AH420" s="3"/>
      <c r="AI420" s="3"/>
      <c r="AJ420" s="3"/>
      <c r="AK420" s="4"/>
      <c r="AM420" s="3"/>
      <c r="AN420" s="3"/>
      <c r="AO420" s="3"/>
      <c r="AP420" s="3"/>
    </row>
  </sheetData>
  <mergeCells count="43">
    <mergeCell ref="O4:O5"/>
    <mergeCell ref="A1:AJ1"/>
    <mergeCell ref="A2:AJ2"/>
    <mergeCell ref="A3:AJ3"/>
    <mergeCell ref="A4:B5"/>
    <mergeCell ref="C4:C5"/>
    <mergeCell ref="D4:E4"/>
    <mergeCell ref="F4:F5"/>
    <mergeCell ref="G4:G5"/>
    <mergeCell ref="H4:H5"/>
    <mergeCell ref="I4:I5"/>
    <mergeCell ref="AM5:AM6"/>
    <mergeCell ref="A6:B6"/>
    <mergeCell ref="A7:G7"/>
    <mergeCell ref="A290:F290"/>
    <mergeCell ref="AB4:AB5"/>
    <mergeCell ref="AC4:AC5"/>
    <mergeCell ref="AD4:AD5"/>
    <mergeCell ref="AE4:AE5"/>
    <mergeCell ref="AF4:AF5"/>
    <mergeCell ref="AH4:AH5"/>
    <mergeCell ref="V4:V5"/>
    <mergeCell ref="W4:W5"/>
    <mergeCell ref="X4:X5"/>
    <mergeCell ref="Y4:Y5"/>
    <mergeCell ref="Z4:Z5"/>
    <mergeCell ref="AA4:AA5"/>
    <mergeCell ref="A302:AJ302"/>
    <mergeCell ref="C303:AH303"/>
    <mergeCell ref="C304:AH304"/>
    <mergeCell ref="AI4:AI5"/>
    <mergeCell ref="AJ4:AJ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</mergeCells>
  <hyperlinks>
    <hyperlink ref="A277" r:id="rId1" display="http://dkpp.rv.ua/index.php?level=37.00.1"/>
    <hyperlink ref="A243" r:id="rId2" display="http://dk16.dovidnyk.info/index.php?rozd=9872"/>
    <hyperlink ref="A245" r:id="rId3" display="http://dk16.dovidnyk.info/index.php?rozd=14751"/>
    <hyperlink ref="B267" r:id="rId4" display="http://dk16.dovidnyk.info/index.php?rozd=20759"/>
    <hyperlink ref="A267" r:id="rId5" display="http://dkpp.rv.ua/index.php?level=80.20.1"/>
    <hyperlink ref="A252" r:id="rId6" display="http://dkpp.rv.ua/index.php?level=38.11.2"/>
    <hyperlink ref="B272" r:id="rId7" display="http://dk16.dovidnyk.info/index.php?rozd=21201"/>
    <hyperlink ref="B257" r:id="rId8" display="http://dk16.dovidnyk.info/index.php?rozd=19647"/>
    <hyperlink ref="A257" r:id="rId9" display="http://dk16.dovidnyk.info/index.php?rozd=19647"/>
    <hyperlink ref="A45" r:id="rId10" display="http://dkpp.rv.ua/index.php?level=20.11.1"/>
    <hyperlink ref="A68" r:id="rId11" display="http://dkpp.rv.ua/index.php?level=22.29.2"/>
    <hyperlink ref="A56" r:id="rId12" display="http://dkpp.rv.ua/index.php?level=21.10.6"/>
    <hyperlink ref="A275" r:id="rId13" display="http://dkpp.rv.ua/index.php?level=17.29.1"/>
    <hyperlink ref="A125" r:id="rId14" display="http://dkpp.rv.ua/index.php?level=20.13.6"/>
    <hyperlink ref="A202" r:id="rId15" display="http://dkpp.rv.ua/index.php?level=26.51.5"/>
    <hyperlink ref="A200" r:id="rId16" display="http://dkpp.rv.ua/index.php?level=22.29.2"/>
    <hyperlink ref="B262" r:id="rId17" display="http://dk16.dovidnyk.info/index.php?rozd=20211"/>
    <hyperlink ref="A285" r:id="rId18" tooltip="Дерево коду 26.51.6" display="http://dkpp.rv.ua/index.php?search=26.51.6&amp;type=code"/>
    <hyperlink ref="A300" r:id="rId19" display="http://dkpp.rv.ua/index.php?level=17.29.1"/>
    <hyperlink ref="B297" r:id="rId20" display="http://dkpp.rv.ua/index.php?level=63.99.1"/>
    <hyperlink ref="B273" r:id="rId21" display="http://dk16.dovidnyk.info/index.php?rozd=21201"/>
    <hyperlink ref="A249" r:id="rId22" display="http://dk16.dovidnyk.info/index.php?rozd=14751"/>
    <hyperlink ref="B8" r:id="rId23" display="http://dkpp.rv.ua/index.php?level=08.11.3"/>
    <hyperlink ref="B268" r:id="rId24" display="http://dkpp.rv.ua/index.php?level=86.90.1"/>
    <hyperlink ref="B259" r:id="rId25" display="http://dk16.dovidnyk.info/index.php?rozd=19731"/>
    <hyperlink ref="B42" r:id="rId26" display="http://dkpp.rv.ua/index.php?level=20.30.2"/>
    <hyperlink ref="B44" r:id="rId27" display="http://dkpp.rv.ua/index.php?level=20.30.2"/>
    <hyperlink ref="A14" r:id="rId28" display="http://dkpp.rv.ua/index.php?level=22.29.2"/>
    <hyperlink ref="A70" r:id="rId29" display="http://dkpp.rv.ua/index.php?level=22.29.2"/>
    <hyperlink ref="A253" r:id="rId30" display="http://dk16.dovidnyk.info/index.php?rozd=14751"/>
    <hyperlink ref="A247" r:id="rId31" display="http://dk16.dovidnyk.info/index.php?rozd=14751"/>
    <hyperlink ref="B270" r:id="rId32" display="http://dkpp.rv.ua/index.php?level=86.90.1"/>
    <hyperlink ref="B271" r:id="rId33" display="http://dkpp.rv.ua/index.php?level=86.90.1"/>
    <hyperlink ref="A255" r:id="rId34" display="http://dk16.dovidnyk.info/index.php?rozd=14751"/>
    <hyperlink ref="B269" r:id="rId35" display="http://dkpp.rv.ua/index.php?level=86.90.1"/>
    <hyperlink ref="A54" r:id="rId36" display="http://dkpp.rv.ua/index.php?level=21.10.6"/>
    <hyperlink ref="A55" r:id="rId37" display="http://dkpp.rv.ua/index.php?level=21.10.6"/>
    <hyperlink ref="A65" r:id="rId38" display="http://dkpp.rv.ua/index.php?level=22.29.2"/>
    <hyperlink ref="A246" r:id="rId39" display="http://dk16.dovidnyk.info/index.php?rozd=14751"/>
    <hyperlink ref="A250" r:id="rId40" display="http://dkpp.rv.ua/index.php?level=38.11.2"/>
    <hyperlink ref="A287" r:id="rId41" tooltip="Дерево коду 26.51.6" display="http://dkpp.rv.ua/index.php?search=26.51.6&amp;type=code"/>
    <hyperlink ref="A280" r:id="rId42" display="http://dkpp.rv.ua/index.php?level=85.59.1"/>
    <hyperlink ref="A46" r:id="rId43" display="http://dkpp.rv.ua/index.php?level=20.11.1"/>
    <hyperlink ref="A69" r:id="rId44" display="http://dkpp.rv.ua/index.php?level=22.29.2"/>
    <hyperlink ref="A116" r:id="rId45" tooltip="Дерево коду 26.51.6" display="http://dkpp.rv.ua/index.php?search=26.51.6&amp;type=code"/>
    <hyperlink ref="B258" r:id="rId46" display="http://dk16.dovidnyk.info/index.php?rozd=19731"/>
    <hyperlink ref="A288" r:id="rId47" tooltip="Дерево коду 26.51.6" display="http://dkpp.rv.ua/index.php?search=26.51.6&amp;type=code"/>
    <hyperlink ref="A66" r:id="rId48" display="http://dkpp.rv.ua/index.php?level=22.29.2"/>
    <hyperlink ref="A57" r:id="rId49" display="http://dkpp.rv.ua/index.php?level=21.10.6"/>
    <hyperlink ref="A251" r:id="rId50" display="http://dkpp.rv.ua/index.php?level=38.11.2"/>
    <hyperlink ref="B264" r:id="rId51" display="http://dk16.dovidnyk.info/index.php?rozd=20211"/>
    <hyperlink ref="A53" r:id="rId52" display="http://dkpp.rv.ua/index.php?level=21.10.6"/>
    <hyperlink ref="B263" r:id="rId53" display="http://dk16.dovidnyk.info/index.php?rozd=20211"/>
    <hyperlink ref="A282" r:id="rId54" display="http://dkpp.rv.ua/index.php?level=85.59.1"/>
    <hyperlink ref="A310" r:id="rId55" display="http://dkpp.rv.ua/index.php?level=21.10.6"/>
    <hyperlink ref="AF310" r:id="rId56" display="http://dkpp.rv.ua/index.php?level=21.10.6"/>
    <hyperlink ref="B298" r:id="rId57" display="http://dkpp.rv.ua/index.php?level=63.99.1"/>
    <hyperlink ref="B71" r:id="rId58" display="http://dkpp.rv.ua/index.php?level=08.11.3"/>
    <hyperlink ref="A64" r:id="rId59" display="http://dkpp.rv.ua/index.php?level=22.29.2"/>
    <hyperlink ref="B43" r:id="rId60" display="http://dkpp.rv.ua/index.php?level=20.30.2"/>
    <hyperlink ref="A322" r:id="rId61" display="http://dkpp.rv.ua/index.php?level=22.29.2"/>
    <hyperlink ref="A323" r:id="rId62" display="http://dkpp.rv.ua/index.php?level=22.29.2"/>
    <hyperlink ref="AP322" r:id="rId63" display="http://dkpp.rv.ua/index.php?level=22.29.2"/>
    <hyperlink ref="AP323" r:id="rId64" display="http://dkpp.rv.ua/index.php?level=22.29.2"/>
    <hyperlink ref="B265" r:id="rId65" display="http://dk16.dovidnyk.info/index.php?rozd=20759"/>
    <hyperlink ref="A265" r:id="rId66" display="http://dkpp.rv.ua/index.php?level=80.20.1"/>
    <hyperlink ref="A248" r:id="rId67" display="http://dk16.dovidnyk.info/index.php?rozd=14751"/>
    <hyperlink ref="A281" r:id="rId68" display="http://dkpp.rv.ua/index.php?level=85.59.1"/>
    <hyperlink ref="A63" r:id="rId69" display="http://dkpp.rv.ua/index.php?level=22.29.2"/>
    <hyperlink ref="A286" r:id="rId70" tooltip="Дерево коду 26.51.6" display="http://dkpp.rv.ua/index.php?search=26.51.6&amp;type=code"/>
    <hyperlink ref="B266" r:id="rId71" display="http://dk16.dovidnyk.info/index.php?rozd=20759"/>
    <hyperlink ref="A266" r:id="rId72" display="http://dkpp.rv.ua/index.php?level=80.20.1"/>
  </hyperlinks>
  <pageMargins left="0" right="7.874015748031496E-2" top="0.43307086614173229" bottom="0.19685039370078741" header="0.27559055118110237" footer="0.23622047244094491"/>
  <pageSetup paperSize="9" scale="64" orientation="landscape" horizontalDpi="200" verticalDpi="200" r:id="rId73"/>
  <headerFooter scaleWithDoc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26" zoomScaleNormal="100" zoomScaleSheetLayoutView="100" workbookViewId="0">
      <selection activeCell="A29" sqref="A29:XFD29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107">
        <v>1</v>
      </c>
      <c r="B6" s="76">
        <v>2</v>
      </c>
      <c r="C6" s="108">
        <v>3</v>
      </c>
      <c r="D6" s="108">
        <v>4</v>
      </c>
      <c r="E6" s="21">
        <v>5</v>
      </c>
      <c r="F6" s="108">
        <v>6</v>
      </c>
      <c r="G6" s="108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10" ht="78.75" x14ac:dyDescent="0.2">
      <c r="A8" s="92" t="s">
        <v>1200</v>
      </c>
      <c r="B8" s="89" t="s">
        <v>1201</v>
      </c>
      <c r="C8" s="89" t="s">
        <v>1202</v>
      </c>
      <c r="D8" s="90">
        <v>2220</v>
      </c>
      <c r="E8" s="102">
        <v>690</v>
      </c>
      <c r="F8" s="90" t="s">
        <v>701</v>
      </c>
      <c r="G8" s="12" t="s">
        <v>1179</v>
      </c>
      <c r="H8" s="17"/>
    </row>
    <row r="9" spans="1:10" ht="299.25" x14ac:dyDescent="0.2">
      <c r="A9" s="92" t="s">
        <v>1203</v>
      </c>
      <c r="B9" s="89" t="s">
        <v>1147</v>
      </c>
      <c r="C9" s="89" t="s">
        <v>1148</v>
      </c>
      <c r="D9" s="90">
        <v>2240</v>
      </c>
      <c r="E9" s="93">
        <v>4470.5600000000004</v>
      </c>
      <c r="F9" s="90" t="s">
        <v>768</v>
      </c>
      <c r="G9" s="12" t="s">
        <v>1179</v>
      </c>
      <c r="H9" s="22"/>
      <c r="I9" s="24"/>
      <c r="J9" s="24"/>
    </row>
    <row r="10" spans="1:10" ht="110.25" x14ac:dyDescent="0.2">
      <c r="A10" s="92" t="s">
        <v>1204</v>
      </c>
      <c r="B10" s="89" t="s">
        <v>1197</v>
      </c>
      <c r="C10" s="89" t="s">
        <v>1198</v>
      </c>
      <c r="D10" s="90">
        <v>2240</v>
      </c>
      <c r="E10" s="102">
        <v>202.9</v>
      </c>
      <c r="F10" s="90" t="s">
        <v>701</v>
      </c>
      <c r="G10" s="12" t="s">
        <v>1179</v>
      </c>
      <c r="H10" s="22"/>
      <c r="I10" s="24"/>
      <c r="J10" s="24"/>
    </row>
    <row r="11" spans="1:10" ht="78.75" x14ac:dyDescent="0.2">
      <c r="A11" s="92" t="s">
        <v>1205</v>
      </c>
      <c r="B11" s="89" t="s">
        <v>1206</v>
      </c>
      <c r="C11" s="89" t="s">
        <v>1207</v>
      </c>
      <c r="D11" s="90">
        <v>2210</v>
      </c>
      <c r="E11" s="93">
        <v>5400</v>
      </c>
      <c r="F11" s="90" t="s">
        <v>701</v>
      </c>
      <c r="G11" s="12" t="s">
        <v>1179</v>
      </c>
      <c r="H11" s="22"/>
      <c r="I11" s="24"/>
      <c r="J11" s="24"/>
    </row>
    <row r="12" spans="1:10" ht="236.25" x14ac:dyDescent="0.2">
      <c r="A12" s="92" t="s">
        <v>1208</v>
      </c>
      <c r="B12" s="89" t="s">
        <v>1209</v>
      </c>
      <c r="C12" s="89" t="s">
        <v>1210</v>
      </c>
      <c r="D12" s="90">
        <v>2240</v>
      </c>
      <c r="E12" s="93">
        <v>2195</v>
      </c>
      <c r="F12" s="90" t="s">
        <v>701</v>
      </c>
      <c r="G12" s="12" t="s">
        <v>1179</v>
      </c>
      <c r="H12" s="22"/>
      <c r="I12" s="24"/>
      <c r="J12" s="24"/>
    </row>
    <row r="13" spans="1:10" ht="66" customHeight="1" x14ac:dyDescent="0.2">
      <c r="A13" s="92" t="s">
        <v>1211</v>
      </c>
      <c r="B13" s="89" t="s">
        <v>1212</v>
      </c>
      <c r="C13" s="89" t="s">
        <v>1213</v>
      </c>
      <c r="D13" s="90">
        <v>2210</v>
      </c>
      <c r="E13" s="90">
        <v>15.12</v>
      </c>
      <c r="F13" s="90" t="s">
        <v>701</v>
      </c>
      <c r="G13" s="12" t="s">
        <v>1179</v>
      </c>
      <c r="H13" s="58"/>
      <c r="I13" s="24"/>
      <c r="J13" s="24"/>
    </row>
    <row r="14" spans="1:10" ht="94.5" x14ac:dyDescent="0.2">
      <c r="A14" s="92" t="s">
        <v>1214</v>
      </c>
      <c r="B14" s="89" t="s">
        <v>1212</v>
      </c>
      <c r="C14" s="89" t="s">
        <v>1215</v>
      </c>
      <c r="D14" s="90">
        <v>2210</v>
      </c>
      <c r="E14" s="90">
        <v>88.18</v>
      </c>
      <c r="F14" s="90" t="s">
        <v>701</v>
      </c>
      <c r="G14" s="12" t="s">
        <v>1179</v>
      </c>
      <c r="H14" s="17"/>
    </row>
    <row r="15" spans="1:10" ht="62.25" customHeight="1" x14ac:dyDescent="0.2">
      <c r="A15" s="92" t="s">
        <v>1216</v>
      </c>
      <c r="B15" s="89" t="s">
        <v>1110</v>
      </c>
      <c r="C15" s="89" t="s">
        <v>1124</v>
      </c>
      <c r="D15" s="90">
        <v>2210</v>
      </c>
      <c r="E15" s="102">
        <v>499.5</v>
      </c>
      <c r="F15" s="90" t="s">
        <v>701</v>
      </c>
      <c r="G15" s="12" t="s">
        <v>1179</v>
      </c>
      <c r="H15" s="22"/>
      <c r="I15" s="24"/>
      <c r="J15" s="24"/>
    </row>
    <row r="16" spans="1:10" ht="62.25" customHeight="1" x14ac:dyDescent="0.2">
      <c r="A16" s="92" t="s">
        <v>1217</v>
      </c>
      <c r="B16" s="89" t="s">
        <v>1218</v>
      </c>
      <c r="C16" s="89" t="s">
        <v>1219</v>
      </c>
      <c r="D16" s="90">
        <v>2210</v>
      </c>
      <c r="E16" s="102">
        <v>147.30000000000001</v>
      </c>
      <c r="F16" s="90" t="s">
        <v>701</v>
      </c>
      <c r="G16" s="12" t="s">
        <v>1179</v>
      </c>
      <c r="H16" s="22"/>
      <c r="I16" s="24"/>
      <c r="J16" s="24"/>
    </row>
    <row r="17" spans="1:12" ht="62.25" customHeight="1" x14ac:dyDescent="0.2">
      <c r="A17" s="92" t="s">
        <v>1220</v>
      </c>
      <c r="B17" s="89" t="s">
        <v>1221</v>
      </c>
      <c r="C17" s="89" t="s">
        <v>1219</v>
      </c>
      <c r="D17" s="90">
        <v>2210</v>
      </c>
      <c r="E17" s="102">
        <v>87.36</v>
      </c>
      <c r="F17" s="90" t="s">
        <v>701</v>
      </c>
      <c r="G17" s="12" t="s">
        <v>1179</v>
      </c>
      <c r="H17" s="22"/>
      <c r="I17" s="24"/>
      <c r="J17" s="24"/>
    </row>
    <row r="18" spans="1:12" ht="62.25" customHeight="1" x14ac:dyDescent="0.2">
      <c r="A18" s="92" t="s">
        <v>1222</v>
      </c>
      <c r="B18" s="89" t="s">
        <v>1223</v>
      </c>
      <c r="C18" s="89" t="s">
        <v>1224</v>
      </c>
      <c r="D18" s="90">
        <v>2210</v>
      </c>
      <c r="E18" s="90">
        <v>692.76</v>
      </c>
      <c r="F18" s="90" t="s">
        <v>701</v>
      </c>
      <c r="G18" s="12" t="s">
        <v>1179</v>
      </c>
      <c r="H18" s="22"/>
      <c r="I18" s="24"/>
      <c r="J18" s="24"/>
    </row>
    <row r="19" spans="1:12" ht="68.25" customHeight="1" x14ac:dyDescent="0.2">
      <c r="A19" s="92" t="s">
        <v>1225</v>
      </c>
      <c r="B19" s="89" t="s">
        <v>1226</v>
      </c>
      <c r="C19" s="89" t="s">
        <v>1227</v>
      </c>
      <c r="D19" s="90">
        <v>2240</v>
      </c>
      <c r="E19" s="93">
        <v>3786.88</v>
      </c>
      <c r="F19" s="90" t="s">
        <v>768</v>
      </c>
      <c r="G19" s="12" t="s">
        <v>1179</v>
      </c>
      <c r="H19" s="22"/>
      <c r="I19" s="24"/>
      <c r="J19" s="24"/>
    </row>
    <row r="20" spans="1:12" ht="69.75" customHeight="1" x14ac:dyDescent="0.2">
      <c r="A20" s="92" t="s">
        <v>1228</v>
      </c>
      <c r="B20" s="89" t="s">
        <v>1110</v>
      </c>
      <c r="C20" s="89" t="s">
        <v>1229</v>
      </c>
      <c r="D20" s="90">
        <v>2210</v>
      </c>
      <c r="E20" s="102">
        <v>720</v>
      </c>
      <c r="F20" s="90" t="s">
        <v>701</v>
      </c>
      <c r="G20" s="12" t="s">
        <v>1179</v>
      </c>
      <c r="H20" s="22"/>
      <c r="I20" s="24"/>
      <c r="J20" s="24"/>
    </row>
    <row r="21" spans="1:12" ht="67.5" customHeight="1" x14ac:dyDescent="0.2">
      <c r="A21" s="92" t="s">
        <v>1230</v>
      </c>
      <c r="B21" s="89" t="s">
        <v>1231</v>
      </c>
      <c r="C21" s="89" t="s">
        <v>1232</v>
      </c>
      <c r="D21" s="90">
        <v>2210</v>
      </c>
      <c r="E21" s="93">
        <v>13531.55</v>
      </c>
      <c r="F21" s="90" t="s">
        <v>701</v>
      </c>
      <c r="G21" s="12" t="s">
        <v>1179</v>
      </c>
      <c r="H21" s="58"/>
      <c r="I21" s="24"/>
      <c r="J21" s="24"/>
    </row>
    <row r="22" spans="1:12" ht="68.25" customHeight="1" x14ac:dyDescent="0.2">
      <c r="A22" s="92" t="s">
        <v>1233</v>
      </c>
      <c r="B22" s="89" t="s">
        <v>1234</v>
      </c>
      <c r="C22" s="89" t="s">
        <v>1235</v>
      </c>
      <c r="D22" s="90">
        <v>2210</v>
      </c>
      <c r="E22" s="93">
        <v>5831</v>
      </c>
      <c r="F22" s="90" t="s">
        <v>701</v>
      </c>
      <c r="G22" s="12" t="s">
        <v>1179</v>
      </c>
      <c r="H22" s="58"/>
      <c r="I22" s="24"/>
      <c r="J22" s="24"/>
    </row>
    <row r="23" spans="1:12" ht="204.75" x14ac:dyDescent="0.2">
      <c r="A23" s="92" t="s">
        <v>1236</v>
      </c>
      <c r="B23" s="89" t="s">
        <v>1147</v>
      </c>
      <c r="C23" s="89" t="s">
        <v>1148</v>
      </c>
      <c r="D23" s="90">
        <v>2240</v>
      </c>
      <c r="E23" s="93">
        <v>2860.74</v>
      </c>
      <c r="F23" s="90" t="s">
        <v>768</v>
      </c>
      <c r="G23" s="12" t="s">
        <v>1179</v>
      </c>
      <c r="H23" s="121"/>
      <c r="I23" s="24"/>
      <c r="J23" s="24"/>
    </row>
    <row r="24" spans="1:12" ht="78.75" x14ac:dyDescent="0.2">
      <c r="A24" s="92" t="s">
        <v>1237</v>
      </c>
      <c r="B24" s="89" t="s">
        <v>1110</v>
      </c>
      <c r="C24" s="89" t="s">
        <v>1238</v>
      </c>
      <c r="D24" s="90">
        <v>2210</v>
      </c>
      <c r="E24" s="102">
        <v>262</v>
      </c>
      <c r="F24" s="90" t="s">
        <v>701</v>
      </c>
      <c r="G24" s="12" t="s">
        <v>1179</v>
      </c>
      <c r="H24" s="121"/>
      <c r="I24" s="24"/>
      <c r="J24" s="24"/>
    </row>
    <row r="25" spans="1:12" ht="78.75" x14ac:dyDescent="0.2">
      <c r="A25" s="92" t="s">
        <v>1239</v>
      </c>
      <c r="B25" s="89" t="s">
        <v>1110</v>
      </c>
      <c r="C25" s="89" t="s">
        <v>1240</v>
      </c>
      <c r="D25" s="90">
        <v>2210</v>
      </c>
      <c r="E25" s="102">
        <v>300</v>
      </c>
      <c r="F25" s="90" t="s">
        <v>701</v>
      </c>
      <c r="G25" s="12" t="s">
        <v>1179</v>
      </c>
      <c r="H25" s="121"/>
      <c r="I25" s="24"/>
      <c r="J25" s="24"/>
    </row>
    <row r="26" spans="1:12" ht="78.75" x14ac:dyDescent="0.2">
      <c r="A26" s="92" t="s">
        <v>1241</v>
      </c>
      <c r="B26" s="89" t="s">
        <v>1153</v>
      </c>
      <c r="C26" s="89" t="s">
        <v>1154</v>
      </c>
      <c r="D26" s="90">
        <v>2210</v>
      </c>
      <c r="E26" s="93">
        <v>1250</v>
      </c>
      <c r="F26" s="90" t="s">
        <v>701</v>
      </c>
      <c r="G26" s="12" t="s">
        <v>1179</v>
      </c>
      <c r="H26" s="121"/>
      <c r="I26" s="24"/>
      <c r="J26" s="24"/>
    </row>
    <row r="27" spans="1:12" ht="126" x14ac:dyDescent="0.2">
      <c r="A27" s="92" t="s">
        <v>1242</v>
      </c>
      <c r="B27" s="89" t="s">
        <v>1243</v>
      </c>
      <c r="C27" s="89" t="s">
        <v>1244</v>
      </c>
      <c r="D27" s="90">
        <v>2220</v>
      </c>
      <c r="E27" s="93">
        <v>15311.7</v>
      </c>
      <c r="F27" s="90" t="s">
        <v>768</v>
      </c>
      <c r="G27" s="12" t="s">
        <v>1179</v>
      </c>
      <c r="H27" s="121"/>
      <c r="I27" s="24"/>
      <c r="J27" s="24"/>
    </row>
    <row r="28" spans="1:12" ht="220.5" x14ac:dyDescent="0.2">
      <c r="A28" s="92" t="s">
        <v>1245</v>
      </c>
      <c r="B28" s="89" t="s">
        <v>1246</v>
      </c>
      <c r="C28" s="89" t="s">
        <v>1247</v>
      </c>
      <c r="D28" s="90">
        <v>2240</v>
      </c>
      <c r="E28" s="93">
        <v>4000</v>
      </c>
      <c r="F28" s="90" t="s">
        <v>701</v>
      </c>
      <c r="G28" s="12" t="s">
        <v>1179</v>
      </c>
      <c r="H28" s="121"/>
      <c r="I28" s="24"/>
      <c r="J28" s="24"/>
    </row>
    <row r="29" spans="1:12" ht="20.25" customHeight="1" thickBot="1" x14ac:dyDescent="0.25">
      <c r="A29" s="139" t="s">
        <v>1285</v>
      </c>
      <c r="B29" s="140"/>
      <c r="C29" s="140"/>
      <c r="D29" s="140"/>
      <c r="E29" s="140"/>
      <c r="F29" s="141"/>
      <c r="G29" s="141"/>
      <c r="H29" s="142"/>
    </row>
    <row r="30" spans="1:12" ht="38.25" customHeight="1" x14ac:dyDescent="0.25">
      <c r="A30" s="66"/>
      <c r="B30" s="77"/>
      <c r="C30" s="66"/>
      <c r="D30" s="106"/>
      <c r="E30" s="4"/>
      <c r="F30" s="4"/>
      <c r="G30" s="4"/>
      <c r="H30" s="65"/>
    </row>
    <row r="31" spans="1:12" s="5" customFormat="1" ht="38.25" customHeight="1" x14ac:dyDescent="0.2">
      <c r="A31" s="3"/>
      <c r="B31" s="78"/>
      <c r="C31" s="3"/>
      <c r="E31" s="75"/>
      <c r="G31" s="3"/>
      <c r="H31" s="3"/>
      <c r="I31" s="3"/>
      <c r="J31" s="3"/>
      <c r="K31" s="3"/>
      <c r="L31" s="3"/>
    </row>
    <row r="32" spans="1:12" s="5" customFormat="1" ht="38.25" customHeight="1" x14ac:dyDescent="0.2">
      <c r="A32" s="3"/>
      <c r="B32" s="78"/>
      <c r="C32" s="95"/>
      <c r="E32" s="75"/>
      <c r="G32" s="3"/>
      <c r="H32" s="3"/>
      <c r="I32" s="3"/>
      <c r="J32" s="3"/>
      <c r="K32" s="3"/>
      <c r="L32" s="3"/>
    </row>
    <row r="33" spans="1:12" s="5" customFormat="1" ht="38.25" customHeight="1" x14ac:dyDescent="0.2">
      <c r="A33" s="3"/>
      <c r="B33" s="78"/>
      <c r="E33" s="75"/>
      <c r="G33" s="3"/>
      <c r="H33" s="3"/>
      <c r="I33" s="3"/>
      <c r="J33" s="3"/>
      <c r="K33" s="3"/>
      <c r="L33" s="3"/>
    </row>
    <row r="34" spans="1:12" s="5" customFormat="1" ht="38.25" customHeight="1" x14ac:dyDescent="0.2">
      <c r="A34" s="3"/>
      <c r="B34" s="78"/>
      <c r="E34" s="75"/>
      <c r="G34" s="3"/>
      <c r="H34" s="3"/>
      <c r="I34" s="3"/>
      <c r="J34" s="3"/>
      <c r="K34" s="3"/>
      <c r="L34" s="3"/>
    </row>
    <row r="42" spans="1:12" ht="38.25" customHeight="1" x14ac:dyDescent="0.2">
      <c r="C42" s="95"/>
    </row>
    <row r="43" spans="1:12" ht="38.25" customHeight="1" x14ac:dyDescent="0.2">
      <c r="C43" s="95"/>
    </row>
    <row r="44" spans="1:12" ht="38.25" customHeight="1" x14ac:dyDescent="0.2">
      <c r="C44" s="95"/>
    </row>
    <row r="45" spans="1:12" ht="38.25" customHeight="1" x14ac:dyDescent="0.2">
      <c r="C45" s="95"/>
    </row>
    <row r="46" spans="1:12" ht="38.25" customHeight="1" x14ac:dyDescent="0.2">
      <c r="C46" s="95"/>
    </row>
    <row r="47" spans="1:12" ht="38.25" customHeight="1" x14ac:dyDescent="0.2">
      <c r="C47" s="95"/>
    </row>
    <row r="48" spans="1:12" ht="38.25" customHeight="1" x14ac:dyDescent="0.2">
      <c r="C48" s="95"/>
    </row>
    <row r="49" spans="3:3" ht="38.25" customHeight="1" x14ac:dyDescent="0.2">
      <c r="C49" s="95"/>
    </row>
  </sheetData>
  <mergeCells count="14">
    <mergeCell ref="H4:H5"/>
    <mergeCell ref="I5:I6"/>
    <mergeCell ref="A7:D7"/>
    <mergeCell ref="A29:H29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>
      <selection activeCell="E8" sqref="E8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107">
        <v>1</v>
      </c>
      <c r="B6" s="76">
        <v>2</v>
      </c>
      <c r="C6" s="108">
        <v>3</v>
      </c>
      <c r="D6" s="108">
        <v>4</v>
      </c>
      <c r="E6" s="12">
        <v>5</v>
      </c>
      <c r="F6" s="108">
        <v>6</v>
      </c>
      <c r="G6" s="108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10" ht="72" customHeight="1" x14ac:dyDescent="0.2">
      <c r="A8" s="92" t="s">
        <v>1181</v>
      </c>
      <c r="B8" s="89" t="s">
        <v>1176</v>
      </c>
      <c r="C8" s="89" t="s">
        <v>1177</v>
      </c>
      <c r="D8" s="90">
        <v>2210</v>
      </c>
      <c r="E8" s="102">
        <v>735</v>
      </c>
      <c r="F8" s="90" t="s">
        <v>701</v>
      </c>
      <c r="G8" s="12" t="s">
        <v>1179</v>
      </c>
      <c r="H8" s="17"/>
    </row>
    <row r="9" spans="1:10" ht="126" x14ac:dyDescent="0.2">
      <c r="A9" s="92" t="s">
        <v>1182</v>
      </c>
      <c r="B9" s="89" t="s">
        <v>1183</v>
      </c>
      <c r="C9" s="89" t="s">
        <v>1184</v>
      </c>
      <c r="D9" s="90">
        <v>2210</v>
      </c>
      <c r="E9" s="102">
        <v>3612</v>
      </c>
      <c r="F9" s="90" t="s">
        <v>701</v>
      </c>
      <c r="G9" s="12" t="s">
        <v>1179</v>
      </c>
      <c r="H9" s="22"/>
      <c r="I9" s="24"/>
      <c r="J9" s="24"/>
    </row>
    <row r="10" spans="1:10" ht="78.75" x14ac:dyDescent="0.2">
      <c r="A10" s="92" t="s">
        <v>1185</v>
      </c>
      <c r="B10" s="89" t="s">
        <v>1105</v>
      </c>
      <c r="C10" s="89" t="s">
        <v>1186</v>
      </c>
      <c r="D10" s="90">
        <v>2210</v>
      </c>
      <c r="E10" s="102">
        <v>786.8</v>
      </c>
      <c r="F10" s="90" t="s">
        <v>701</v>
      </c>
      <c r="G10" s="12" t="s">
        <v>1179</v>
      </c>
      <c r="H10" s="22"/>
      <c r="I10" s="24"/>
      <c r="J10" s="24"/>
    </row>
    <row r="11" spans="1:10" ht="110.25" x14ac:dyDescent="0.2">
      <c r="A11" s="92" t="s">
        <v>1187</v>
      </c>
      <c r="B11" s="89" t="s">
        <v>1147</v>
      </c>
      <c r="C11" s="89" t="s">
        <v>1148</v>
      </c>
      <c r="D11" s="90">
        <v>2240</v>
      </c>
      <c r="E11" s="102">
        <v>272.5</v>
      </c>
      <c r="F11" s="90" t="s">
        <v>768</v>
      </c>
      <c r="G11" s="12" t="s">
        <v>1179</v>
      </c>
      <c r="H11" s="22"/>
      <c r="I11" s="24"/>
      <c r="J11" s="24"/>
    </row>
    <row r="12" spans="1:10" ht="94.5" x14ac:dyDescent="0.2">
      <c r="A12" s="92" t="s">
        <v>1188</v>
      </c>
      <c r="B12" s="89" t="s">
        <v>1189</v>
      </c>
      <c r="C12" s="89" t="s">
        <v>1190</v>
      </c>
      <c r="D12" s="90">
        <v>2240</v>
      </c>
      <c r="E12" s="102">
        <v>640</v>
      </c>
      <c r="F12" s="90" t="s">
        <v>701</v>
      </c>
      <c r="G12" s="12" t="s">
        <v>1179</v>
      </c>
      <c r="H12" s="22"/>
      <c r="I12" s="24"/>
      <c r="J12" s="24"/>
    </row>
    <row r="13" spans="1:10" ht="68.25" customHeight="1" x14ac:dyDescent="0.2">
      <c r="A13" s="92" t="s">
        <v>1191</v>
      </c>
      <c r="B13" s="89" t="s">
        <v>1192</v>
      </c>
      <c r="C13" s="89" t="s">
        <v>1193</v>
      </c>
      <c r="D13" s="90">
        <v>2240</v>
      </c>
      <c r="E13" s="102">
        <v>1644.48</v>
      </c>
      <c r="F13" s="90" t="s">
        <v>701</v>
      </c>
      <c r="G13" s="12" t="s">
        <v>1179</v>
      </c>
      <c r="H13" s="22"/>
      <c r="I13" s="24"/>
      <c r="J13" s="24"/>
    </row>
    <row r="14" spans="1:10" ht="78.75" x14ac:dyDescent="0.2">
      <c r="A14" s="92" t="s">
        <v>1194</v>
      </c>
      <c r="B14" s="89" t="s">
        <v>1110</v>
      </c>
      <c r="C14" s="89" t="s">
        <v>1195</v>
      </c>
      <c r="D14" s="90">
        <v>2210</v>
      </c>
      <c r="E14" s="102">
        <v>2333.88</v>
      </c>
      <c r="F14" s="90" t="s">
        <v>701</v>
      </c>
      <c r="G14" s="12" t="s">
        <v>1179</v>
      </c>
      <c r="H14" s="58"/>
      <c r="I14" s="24"/>
      <c r="J14" s="24"/>
    </row>
    <row r="15" spans="1:10" ht="110.25" x14ac:dyDescent="0.2">
      <c r="A15" s="92" t="s">
        <v>1196</v>
      </c>
      <c r="B15" s="89" t="s">
        <v>1197</v>
      </c>
      <c r="C15" s="89" t="s">
        <v>1198</v>
      </c>
      <c r="D15" s="90">
        <v>2240</v>
      </c>
      <c r="E15" s="102">
        <v>202.9</v>
      </c>
      <c r="F15" s="90" t="s">
        <v>701</v>
      </c>
      <c r="G15" s="125" t="s">
        <v>1179</v>
      </c>
      <c r="H15" s="17"/>
    </row>
    <row r="16" spans="1:10" ht="20.25" customHeight="1" thickBot="1" x14ac:dyDescent="0.25">
      <c r="A16" s="139" t="s">
        <v>1199</v>
      </c>
      <c r="B16" s="140"/>
      <c r="C16" s="140"/>
      <c r="D16" s="140"/>
      <c r="E16" s="140"/>
      <c r="F16" s="141"/>
      <c r="G16" s="141"/>
      <c r="H16" s="142"/>
    </row>
    <row r="17" spans="1:12" ht="38.25" customHeight="1" x14ac:dyDescent="0.25">
      <c r="A17" s="66"/>
      <c r="B17" s="77"/>
      <c r="C17" s="66"/>
      <c r="D17" s="106"/>
      <c r="E17" s="4"/>
      <c r="F17" s="4"/>
      <c r="G17" s="4"/>
      <c r="H17" s="65"/>
    </row>
    <row r="18" spans="1:12" s="5" customFormat="1" ht="38.25" customHeight="1" x14ac:dyDescent="0.2">
      <c r="A18" s="3"/>
      <c r="B18" s="78"/>
      <c r="C18" s="3"/>
      <c r="E18" s="75"/>
      <c r="G18" s="3"/>
      <c r="H18" s="3"/>
      <c r="I18" s="3"/>
      <c r="J18" s="3"/>
      <c r="K18" s="3"/>
      <c r="L18" s="3"/>
    </row>
    <row r="19" spans="1:12" s="5" customFormat="1" ht="38.25" customHeight="1" x14ac:dyDescent="0.2">
      <c r="A19" s="3"/>
      <c r="B19" s="78"/>
      <c r="C19" s="95"/>
      <c r="E19" s="75"/>
      <c r="G19" s="3"/>
      <c r="H19" s="3"/>
      <c r="I19" s="3"/>
      <c r="J19" s="3"/>
      <c r="K19" s="3"/>
      <c r="L19" s="3"/>
    </row>
    <row r="20" spans="1:12" s="5" customFormat="1" ht="38.25" customHeight="1" x14ac:dyDescent="0.2">
      <c r="A20" s="3"/>
      <c r="B20" s="78"/>
      <c r="E20" s="75"/>
      <c r="G20" s="3"/>
      <c r="H20" s="3"/>
      <c r="I20" s="3"/>
      <c r="J20" s="3"/>
      <c r="K20" s="3"/>
      <c r="L20" s="3"/>
    </row>
    <row r="21" spans="1:12" s="5" customFormat="1" ht="38.25" customHeight="1" x14ac:dyDescent="0.2">
      <c r="A21" s="3"/>
      <c r="B21" s="78"/>
      <c r="E21" s="75"/>
      <c r="G21" s="3"/>
      <c r="H21" s="3"/>
      <c r="I21" s="3"/>
      <c r="J21" s="3"/>
      <c r="K21" s="3"/>
      <c r="L21" s="3"/>
    </row>
    <row r="29" spans="1:12" ht="38.25" customHeight="1" x14ac:dyDescent="0.2">
      <c r="C29" s="95"/>
    </row>
    <row r="30" spans="1:12" ht="38.25" customHeight="1" x14ac:dyDescent="0.2">
      <c r="C30" s="95"/>
    </row>
    <row r="31" spans="1:12" ht="38.25" customHeight="1" x14ac:dyDescent="0.2">
      <c r="C31" s="95"/>
    </row>
    <row r="32" spans="1:12" ht="38.25" customHeight="1" x14ac:dyDescent="0.2">
      <c r="C32" s="95"/>
    </row>
    <row r="33" spans="3:3" ht="38.25" customHeight="1" x14ac:dyDescent="0.2">
      <c r="C33" s="95"/>
    </row>
    <row r="34" spans="3:3" ht="38.25" customHeight="1" x14ac:dyDescent="0.2">
      <c r="C34" s="95"/>
    </row>
    <row r="35" spans="3:3" ht="38.25" customHeight="1" x14ac:dyDescent="0.2">
      <c r="C35" s="95"/>
    </row>
    <row r="36" spans="3:3" ht="38.25" customHeight="1" x14ac:dyDescent="0.2">
      <c r="C36" s="95"/>
    </row>
  </sheetData>
  <mergeCells count="14">
    <mergeCell ref="H4:H5"/>
    <mergeCell ref="I5:I6"/>
    <mergeCell ref="A7:D7"/>
    <mergeCell ref="A16:H16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view="pageBreakPreview" zoomScaleNormal="100" zoomScaleSheetLayoutView="100" workbookViewId="0">
      <selection activeCell="A10" sqref="A10:XFD10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2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2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2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2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2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2" ht="15.75" customHeight="1" x14ac:dyDescent="0.2">
      <c r="A6" s="107">
        <v>1</v>
      </c>
      <c r="B6" s="76">
        <v>2</v>
      </c>
      <c r="C6" s="108">
        <v>3</v>
      </c>
      <c r="D6" s="108">
        <v>4</v>
      </c>
      <c r="E6" s="21">
        <v>5</v>
      </c>
      <c r="F6" s="108">
        <v>6</v>
      </c>
      <c r="G6" s="108">
        <v>7</v>
      </c>
      <c r="H6" s="82">
        <v>8</v>
      </c>
      <c r="I6" s="136"/>
    </row>
    <row r="7" spans="1:12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12" ht="72" customHeight="1" x14ac:dyDescent="0.2">
      <c r="A8" s="92" t="s">
        <v>1170</v>
      </c>
      <c r="B8" s="89" t="s">
        <v>1171</v>
      </c>
      <c r="C8" s="89" t="s">
        <v>827</v>
      </c>
      <c r="D8" s="90">
        <v>2210</v>
      </c>
      <c r="E8" s="93">
        <v>1331.88</v>
      </c>
      <c r="F8" s="90" t="s">
        <v>701</v>
      </c>
      <c r="G8" s="12" t="s">
        <v>1179</v>
      </c>
      <c r="H8" s="17"/>
    </row>
    <row r="9" spans="1:12" ht="47.25" x14ac:dyDescent="0.2">
      <c r="A9" s="92" t="s">
        <v>1172</v>
      </c>
      <c r="B9" s="89" t="s">
        <v>1173</v>
      </c>
      <c r="C9" s="89" t="s">
        <v>1174</v>
      </c>
      <c r="D9" s="90">
        <v>2271</v>
      </c>
      <c r="E9" s="93">
        <v>504347.23</v>
      </c>
      <c r="F9" s="90" t="s">
        <v>1175</v>
      </c>
      <c r="G9" s="12" t="s">
        <v>1179</v>
      </c>
      <c r="H9" s="22" t="s">
        <v>1180</v>
      </c>
      <c r="I9" s="24"/>
      <c r="J9" s="24"/>
    </row>
    <row r="10" spans="1:12" ht="20.25" customHeight="1" thickBot="1" x14ac:dyDescent="0.25">
      <c r="A10" s="139" t="s">
        <v>1178</v>
      </c>
      <c r="B10" s="140"/>
      <c r="C10" s="140"/>
      <c r="D10" s="140"/>
      <c r="E10" s="140"/>
      <c r="F10" s="141"/>
      <c r="G10" s="141"/>
      <c r="H10" s="142"/>
    </row>
    <row r="11" spans="1:12" ht="38.25" customHeight="1" x14ac:dyDescent="0.25">
      <c r="A11" s="66"/>
      <c r="B11" s="77"/>
      <c r="C11" s="66"/>
      <c r="D11" s="106"/>
      <c r="E11" s="4"/>
      <c r="F11" s="4"/>
      <c r="G11" s="4"/>
      <c r="H11" s="65"/>
    </row>
    <row r="12" spans="1:12" s="5" customFormat="1" ht="38.25" customHeight="1" x14ac:dyDescent="0.2">
      <c r="A12" s="3"/>
      <c r="B12" s="78"/>
      <c r="C12" s="3"/>
      <c r="E12" s="75"/>
      <c r="G12" s="3"/>
      <c r="H12" s="3"/>
      <c r="I12" s="3"/>
      <c r="J12" s="3"/>
      <c r="K12" s="3"/>
      <c r="L12" s="3"/>
    </row>
    <row r="13" spans="1:12" s="5" customFormat="1" ht="38.25" customHeight="1" x14ac:dyDescent="0.2">
      <c r="A13" s="3"/>
      <c r="B13" s="78"/>
      <c r="C13" s="95"/>
      <c r="E13" s="75"/>
      <c r="G13" s="3"/>
      <c r="H13" s="3"/>
      <c r="I13" s="3"/>
      <c r="J13" s="3"/>
      <c r="K13" s="3"/>
      <c r="L13" s="3"/>
    </row>
    <row r="14" spans="1:12" s="5" customFormat="1" ht="38.25" customHeight="1" x14ac:dyDescent="0.2">
      <c r="A14" s="3"/>
      <c r="B14" s="78"/>
      <c r="E14" s="75"/>
      <c r="G14" s="3"/>
      <c r="H14" s="3"/>
      <c r="I14" s="3"/>
      <c r="J14" s="3"/>
      <c r="K14" s="3"/>
      <c r="L14" s="3"/>
    </row>
    <row r="15" spans="1:12" s="5" customFormat="1" ht="38.25" customHeight="1" x14ac:dyDescent="0.2">
      <c r="A15" s="3"/>
      <c r="B15" s="78"/>
      <c r="E15" s="75"/>
      <c r="G15" s="3"/>
      <c r="H15" s="3"/>
      <c r="I15" s="3"/>
      <c r="J15" s="3"/>
      <c r="K15" s="3"/>
      <c r="L15" s="3"/>
    </row>
    <row r="23" spans="3:3" ht="38.25" customHeight="1" x14ac:dyDescent="0.2">
      <c r="C23" s="95"/>
    </row>
    <row r="24" spans="3:3" ht="38.25" customHeight="1" x14ac:dyDescent="0.2">
      <c r="C24" s="95"/>
    </row>
    <row r="25" spans="3:3" ht="38.25" customHeight="1" x14ac:dyDescent="0.2">
      <c r="C25" s="95"/>
    </row>
    <row r="26" spans="3:3" ht="38.25" customHeight="1" x14ac:dyDescent="0.2">
      <c r="C26" s="95"/>
    </row>
    <row r="27" spans="3:3" ht="38.25" customHeight="1" x14ac:dyDescent="0.2">
      <c r="C27" s="95"/>
    </row>
    <row r="28" spans="3:3" ht="38.25" customHeight="1" x14ac:dyDescent="0.2">
      <c r="C28" s="95"/>
    </row>
    <row r="29" spans="3:3" ht="38.25" customHeight="1" x14ac:dyDescent="0.2">
      <c r="C29" s="95"/>
    </row>
    <row r="30" spans="3:3" ht="38.25" customHeight="1" x14ac:dyDescent="0.2">
      <c r="C30" s="95"/>
    </row>
  </sheetData>
  <mergeCells count="14">
    <mergeCell ref="H4:H5"/>
    <mergeCell ref="I5:I6"/>
    <mergeCell ref="A7:D7"/>
    <mergeCell ref="A10:H10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view="pageBreakPreview" topLeftCell="A7" zoomScaleNormal="100" zoomScaleSheetLayoutView="100" workbookViewId="0">
      <selection activeCell="C15" sqref="C15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2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2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2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2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2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2" ht="15.75" customHeight="1" x14ac:dyDescent="0.2">
      <c r="A6" s="107">
        <v>1</v>
      </c>
      <c r="B6" s="76">
        <v>2</v>
      </c>
      <c r="C6" s="108">
        <v>3</v>
      </c>
      <c r="D6" s="129">
        <v>4</v>
      </c>
      <c r="E6" s="12">
        <v>5</v>
      </c>
      <c r="F6" s="108">
        <v>6</v>
      </c>
      <c r="G6" s="108">
        <v>7</v>
      </c>
      <c r="H6" s="82">
        <v>8</v>
      </c>
      <c r="I6" s="136"/>
    </row>
    <row r="7" spans="1:12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12" ht="72" customHeight="1" x14ac:dyDescent="0.2">
      <c r="A8" s="92" t="s">
        <v>1155</v>
      </c>
      <c r="B8" s="89" t="s">
        <v>1156</v>
      </c>
      <c r="C8" s="89" t="s">
        <v>1157</v>
      </c>
      <c r="D8" s="90">
        <v>2240</v>
      </c>
      <c r="E8" s="102">
        <v>5425.32</v>
      </c>
      <c r="F8" s="90" t="s">
        <v>701</v>
      </c>
      <c r="G8" s="12" t="s">
        <v>983</v>
      </c>
      <c r="H8" s="17"/>
    </row>
    <row r="9" spans="1:12" ht="78.75" x14ac:dyDescent="0.2">
      <c r="A9" s="92" t="s">
        <v>1158</v>
      </c>
      <c r="B9" s="89" t="s">
        <v>1159</v>
      </c>
      <c r="C9" s="89" t="s">
        <v>1160</v>
      </c>
      <c r="D9" s="90">
        <v>2240</v>
      </c>
      <c r="E9" s="102">
        <v>21537.360000000001</v>
      </c>
      <c r="F9" s="90" t="s">
        <v>701</v>
      </c>
      <c r="G9" s="12" t="s">
        <v>983</v>
      </c>
      <c r="H9" s="22"/>
      <c r="I9" s="24"/>
      <c r="J9" s="24"/>
    </row>
    <row r="10" spans="1:12" ht="78.75" x14ac:dyDescent="0.2">
      <c r="A10" s="92" t="s">
        <v>1161</v>
      </c>
      <c r="B10" s="89" t="s">
        <v>1162</v>
      </c>
      <c r="C10" s="89" t="s">
        <v>1163</v>
      </c>
      <c r="D10" s="90">
        <v>2210</v>
      </c>
      <c r="E10" s="102">
        <v>1800</v>
      </c>
      <c r="F10" s="90" t="s">
        <v>701</v>
      </c>
      <c r="G10" s="12" t="s">
        <v>983</v>
      </c>
      <c r="H10" s="22"/>
      <c r="I10" s="24"/>
      <c r="J10" s="24"/>
    </row>
    <row r="11" spans="1:12" ht="78.75" x14ac:dyDescent="0.2">
      <c r="A11" s="92" t="s">
        <v>1164</v>
      </c>
      <c r="B11" s="89" t="s">
        <v>1165</v>
      </c>
      <c r="C11" s="89" t="s">
        <v>1166</v>
      </c>
      <c r="D11" s="90">
        <v>2210</v>
      </c>
      <c r="E11" s="102">
        <v>1120</v>
      </c>
      <c r="F11" s="90" t="s">
        <v>701</v>
      </c>
      <c r="G11" s="12" t="s">
        <v>983</v>
      </c>
      <c r="H11" s="22"/>
      <c r="I11" s="24"/>
      <c r="J11" s="24"/>
    </row>
    <row r="12" spans="1:12" ht="70.5" customHeight="1" x14ac:dyDescent="0.2">
      <c r="A12" s="92" t="s">
        <v>1167</v>
      </c>
      <c r="B12" s="89" t="s">
        <v>1105</v>
      </c>
      <c r="C12" s="89" t="s">
        <v>1308</v>
      </c>
      <c r="D12" s="90">
        <v>2210</v>
      </c>
      <c r="E12" s="102">
        <v>1003.8</v>
      </c>
      <c r="F12" s="90" t="s">
        <v>701</v>
      </c>
      <c r="G12" s="12" t="s">
        <v>983</v>
      </c>
      <c r="H12" s="22"/>
      <c r="I12" s="24"/>
      <c r="J12" s="24"/>
    </row>
    <row r="13" spans="1:12" ht="68.25" customHeight="1" thickBot="1" x14ac:dyDescent="0.25">
      <c r="A13" s="122" t="s">
        <v>1134</v>
      </c>
      <c r="B13" s="123" t="s">
        <v>1105</v>
      </c>
      <c r="C13" s="123" t="s">
        <v>1309</v>
      </c>
      <c r="D13" s="124">
        <v>2210</v>
      </c>
      <c r="E13" s="131">
        <v>915</v>
      </c>
      <c r="F13" s="124" t="s">
        <v>701</v>
      </c>
      <c r="G13" s="84" t="s">
        <v>983</v>
      </c>
      <c r="H13" s="86"/>
      <c r="I13" s="24"/>
      <c r="J13" s="24"/>
    </row>
    <row r="14" spans="1:12" ht="20.25" customHeight="1" thickBot="1" x14ac:dyDescent="0.25">
      <c r="A14" s="152" t="s">
        <v>1168</v>
      </c>
      <c r="B14" s="153"/>
      <c r="C14" s="153"/>
      <c r="D14" s="153"/>
      <c r="E14" s="153"/>
      <c r="F14" s="154"/>
      <c r="G14" s="154"/>
      <c r="H14" s="155"/>
    </row>
    <row r="15" spans="1:12" ht="38.25" customHeight="1" x14ac:dyDescent="0.25">
      <c r="A15" s="66"/>
      <c r="B15" s="77"/>
      <c r="C15" s="66"/>
      <c r="D15" s="127"/>
      <c r="E15" s="4"/>
      <c r="F15" s="4"/>
      <c r="G15" s="4"/>
      <c r="H15" s="65"/>
    </row>
    <row r="16" spans="1:12" s="5" customFormat="1" ht="38.25" customHeight="1" x14ac:dyDescent="0.2">
      <c r="A16" s="3"/>
      <c r="B16" s="78"/>
      <c r="C16" s="3"/>
      <c r="E16" s="75"/>
      <c r="G16" s="3"/>
      <c r="H16" s="3"/>
      <c r="I16" s="3"/>
      <c r="J16" s="3"/>
      <c r="K16" s="3"/>
      <c r="L16" s="3"/>
    </row>
    <row r="17" spans="1:12" s="5" customFormat="1" ht="38.25" customHeight="1" x14ac:dyDescent="0.2">
      <c r="A17" s="3"/>
      <c r="B17" s="78"/>
      <c r="C17" s="95"/>
      <c r="E17" s="75"/>
      <c r="G17" s="3"/>
      <c r="H17" s="3"/>
      <c r="I17" s="3"/>
      <c r="J17" s="3"/>
      <c r="K17" s="3"/>
      <c r="L17" s="3"/>
    </row>
    <row r="18" spans="1:12" s="5" customFormat="1" ht="38.25" customHeight="1" x14ac:dyDescent="0.2">
      <c r="A18" s="3"/>
      <c r="B18" s="78"/>
      <c r="E18" s="75"/>
      <c r="G18" s="3"/>
      <c r="H18" s="3"/>
      <c r="I18" s="3"/>
      <c r="J18" s="3"/>
      <c r="K18" s="3"/>
      <c r="L18" s="3"/>
    </row>
    <row r="19" spans="1:12" s="5" customFormat="1" ht="38.25" customHeight="1" x14ac:dyDescent="0.2">
      <c r="A19" s="3"/>
      <c r="B19" s="78"/>
      <c r="E19" s="75"/>
      <c r="G19" s="3"/>
      <c r="H19" s="3"/>
      <c r="I19" s="3"/>
      <c r="J19" s="3"/>
      <c r="K19" s="3"/>
      <c r="L19" s="3"/>
    </row>
    <row r="27" spans="1:12" ht="38.25" customHeight="1" x14ac:dyDescent="0.2">
      <c r="C27" s="95"/>
    </row>
    <row r="28" spans="1:12" ht="38.25" customHeight="1" x14ac:dyDescent="0.2">
      <c r="C28" s="95"/>
    </row>
    <row r="29" spans="1:12" ht="38.25" customHeight="1" x14ac:dyDescent="0.2">
      <c r="C29" s="95"/>
    </row>
    <row r="30" spans="1:12" ht="38.25" customHeight="1" x14ac:dyDescent="0.2">
      <c r="C30" s="95"/>
    </row>
    <row r="31" spans="1:12" ht="38.25" customHeight="1" x14ac:dyDescent="0.2">
      <c r="C31" s="95"/>
    </row>
    <row r="32" spans="1:12" ht="38.25" customHeight="1" x14ac:dyDescent="0.2">
      <c r="C32" s="95"/>
    </row>
    <row r="33" spans="3:3" ht="38.25" customHeight="1" x14ac:dyDescent="0.2">
      <c r="C33" s="95"/>
    </row>
    <row r="34" spans="3:3" ht="38.25" customHeight="1" x14ac:dyDescent="0.2">
      <c r="C34" s="95"/>
    </row>
  </sheetData>
  <mergeCells count="14">
    <mergeCell ref="H4:H5"/>
    <mergeCell ref="I5:I6"/>
    <mergeCell ref="A7:D7"/>
    <mergeCell ref="A14:H14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view="pageBreakPreview" topLeftCell="A4" zoomScaleNormal="100" zoomScaleSheetLayoutView="100" workbookViewId="0">
      <selection activeCell="A11" sqref="A11:XFD11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5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2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2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2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2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2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2" ht="15.75" customHeight="1" x14ac:dyDescent="0.2">
      <c r="A6" s="107">
        <v>1</v>
      </c>
      <c r="B6" s="76">
        <v>2</v>
      </c>
      <c r="C6" s="108">
        <v>3</v>
      </c>
      <c r="D6" s="108">
        <v>4</v>
      </c>
      <c r="E6" s="21">
        <v>5</v>
      </c>
      <c r="F6" s="108">
        <v>6</v>
      </c>
      <c r="G6" s="108">
        <v>7</v>
      </c>
      <c r="H6" s="82">
        <v>8</v>
      </c>
      <c r="I6" s="136"/>
    </row>
    <row r="7" spans="1:12" ht="14.25" x14ac:dyDescent="0.2">
      <c r="A7" s="137" t="s">
        <v>39</v>
      </c>
      <c r="B7" s="138"/>
      <c r="C7" s="138"/>
      <c r="D7" s="138"/>
      <c r="E7" s="16"/>
      <c r="F7" s="16"/>
      <c r="G7" s="14"/>
      <c r="H7" s="17"/>
    </row>
    <row r="8" spans="1:12" ht="141.75" x14ac:dyDescent="0.2">
      <c r="A8" s="92" t="s">
        <v>1146</v>
      </c>
      <c r="B8" s="89" t="s">
        <v>1147</v>
      </c>
      <c r="C8" s="89" t="s">
        <v>1148</v>
      </c>
      <c r="D8" s="90">
        <v>2240</v>
      </c>
      <c r="E8" s="102">
        <v>1307.98</v>
      </c>
      <c r="F8" s="90" t="s">
        <v>768</v>
      </c>
      <c r="G8" s="12" t="s">
        <v>983</v>
      </c>
      <c r="H8" s="17"/>
    </row>
    <row r="9" spans="1:12" ht="141.75" x14ac:dyDescent="0.2">
      <c r="A9" s="92" t="s">
        <v>1149</v>
      </c>
      <c r="B9" s="89" t="s">
        <v>1150</v>
      </c>
      <c r="C9" s="89" t="s">
        <v>1151</v>
      </c>
      <c r="D9" s="90">
        <v>2220</v>
      </c>
      <c r="E9" s="102">
        <v>6063.9</v>
      </c>
      <c r="F9" s="90" t="s">
        <v>701</v>
      </c>
      <c r="G9" s="12" t="s">
        <v>983</v>
      </c>
      <c r="H9" s="22"/>
      <c r="I9" s="24"/>
      <c r="J9" s="24"/>
    </row>
    <row r="10" spans="1:12" ht="78.75" x14ac:dyDescent="0.2">
      <c r="A10" s="92" t="s">
        <v>1152</v>
      </c>
      <c r="B10" s="89" t="s">
        <v>1153</v>
      </c>
      <c r="C10" s="89" t="s">
        <v>1154</v>
      </c>
      <c r="D10" s="90">
        <v>2210</v>
      </c>
      <c r="E10" s="102">
        <v>1250</v>
      </c>
      <c r="F10" s="90" t="s">
        <v>701</v>
      </c>
      <c r="G10" s="12" t="s">
        <v>983</v>
      </c>
      <c r="H10" s="22"/>
      <c r="I10" s="24"/>
      <c r="J10" s="24"/>
    </row>
    <row r="11" spans="1:12" ht="20.25" customHeight="1" thickBot="1" x14ac:dyDescent="0.25">
      <c r="A11" s="152" t="s">
        <v>1169</v>
      </c>
      <c r="B11" s="153"/>
      <c r="C11" s="153"/>
      <c r="D11" s="153"/>
      <c r="E11" s="153"/>
      <c r="F11" s="154"/>
      <c r="G11" s="154"/>
      <c r="H11" s="155"/>
    </row>
    <row r="12" spans="1:12" ht="38.25" customHeight="1" x14ac:dyDescent="0.25">
      <c r="A12" s="66"/>
      <c r="B12" s="77"/>
      <c r="C12" s="66"/>
      <c r="D12" s="106"/>
      <c r="E12" s="4"/>
      <c r="F12" s="4"/>
      <c r="G12" s="4"/>
      <c r="H12" s="65"/>
    </row>
    <row r="13" spans="1:12" s="5" customFormat="1" ht="38.25" customHeight="1" x14ac:dyDescent="0.2">
      <c r="A13" s="3"/>
      <c r="B13" s="78"/>
      <c r="C13" s="3"/>
      <c r="E13" s="75"/>
      <c r="G13" s="3"/>
      <c r="H13" s="3"/>
      <c r="I13" s="3"/>
      <c r="J13" s="3"/>
      <c r="K13" s="3"/>
      <c r="L13" s="3"/>
    </row>
    <row r="14" spans="1:12" s="5" customFormat="1" ht="38.25" customHeight="1" x14ac:dyDescent="0.2">
      <c r="A14" s="3"/>
      <c r="B14" s="78"/>
      <c r="C14" s="95"/>
      <c r="E14" s="75"/>
      <c r="G14" s="3"/>
      <c r="H14" s="3"/>
      <c r="I14" s="3"/>
      <c r="J14" s="3"/>
      <c r="K14" s="3"/>
      <c r="L14" s="3"/>
    </row>
    <row r="15" spans="1:12" s="5" customFormat="1" ht="38.25" customHeight="1" x14ac:dyDescent="0.2">
      <c r="A15" s="3"/>
      <c r="B15" s="78"/>
      <c r="E15" s="75"/>
      <c r="G15" s="3"/>
      <c r="H15" s="3"/>
      <c r="I15" s="3"/>
      <c r="J15" s="3"/>
      <c r="K15" s="3"/>
      <c r="L15" s="3"/>
    </row>
    <row r="16" spans="1:12" s="5" customFormat="1" ht="38.25" customHeight="1" x14ac:dyDescent="0.2">
      <c r="A16" s="3"/>
      <c r="B16" s="78"/>
      <c r="E16" s="75"/>
      <c r="G16" s="3"/>
      <c r="H16" s="3"/>
      <c r="I16" s="3"/>
      <c r="J16" s="3"/>
      <c r="K16" s="3"/>
      <c r="L16" s="3"/>
    </row>
    <row r="24" spans="3:3" ht="38.25" customHeight="1" x14ac:dyDescent="0.2">
      <c r="C24" s="95"/>
    </row>
    <row r="25" spans="3:3" ht="38.25" customHeight="1" x14ac:dyDescent="0.2">
      <c r="C25" s="95"/>
    </row>
    <row r="26" spans="3:3" ht="38.25" customHeight="1" x14ac:dyDescent="0.2">
      <c r="C26" s="95"/>
    </row>
    <row r="27" spans="3:3" ht="38.25" customHeight="1" x14ac:dyDescent="0.2">
      <c r="C27" s="95"/>
    </row>
    <row r="28" spans="3:3" ht="38.25" customHeight="1" x14ac:dyDescent="0.2">
      <c r="C28" s="95"/>
    </row>
    <row r="29" spans="3:3" ht="38.25" customHeight="1" x14ac:dyDescent="0.2">
      <c r="C29" s="95"/>
    </row>
    <row r="30" spans="3:3" ht="38.25" customHeight="1" x14ac:dyDescent="0.2">
      <c r="C30" s="95"/>
    </row>
    <row r="31" spans="3:3" ht="38.25" customHeight="1" x14ac:dyDescent="0.2">
      <c r="C31" s="95"/>
    </row>
  </sheetData>
  <mergeCells count="14">
    <mergeCell ref="H4:H5"/>
    <mergeCell ref="I5:I6"/>
    <mergeCell ref="A7:D7"/>
    <mergeCell ref="A11:H11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topLeftCell="A10" zoomScaleNormal="100" zoomScaleSheetLayoutView="100" workbookViewId="0">
      <selection activeCell="A20" sqref="A20:XFD20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110" customWidth="1"/>
    <col min="6" max="6" width="13.7109375" style="5" customWidth="1"/>
    <col min="7" max="7" width="14.140625" style="5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3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3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3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3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50" t="s">
        <v>695</v>
      </c>
      <c r="F4" s="150" t="s">
        <v>33</v>
      </c>
      <c r="G4" s="150" t="s">
        <v>34</v>
      </c>
      <c r="H4" s="134" t="s">
        <v>7</v>
      </c>
    </row>
    <row r="5" spans="1:13" ht="89.25" customHeight="1" x14ac:dyDescent="0.2">
      <c r="A5" s="137"/>
      <c r="B5" s="146"/>
      <c r="C5" s="138"/>
      <c r="D5" s="138"/>
      <c r="E5" s="151"/>
      <c r="F5" s="151"/>
      <c r="G5" s="151"/>
      <c r="H5" s="135"/>
      <c r="I5" s="98"/>
      <c r="J5" s="98"/>
      <c r="K5" s="98"/>
      <c r="L5" s="98"/>
      <c r="M5" s="98"/>
    </row>
    <row r="6" spans="1:13" ht="15.75" customHeight="1" x14ac:dyDescent="0.2">
      <c r="A6" s="103">
        <v>1</v>
      </c>
      <c r="B6" s="104">
        <v>2</v>
      </c>
      <c r="C6" s="104">
        <v>3</v>
      </c>
      <c r="D6" s="104">
        <v>4</v>
      </c>
      <c r="E6" s="21">
        <v>5</v>
      </c>
      <c r="F6" s="104">
        <v>6</v>
      </c>
      <c r="G6" s="104">
        <v>7</v>
      </c>
      <c r="H6" s="15">
        <v>8</v>
      </c>
      <c r="I6" s="99"/>
      <c r="J6" s="100"/>
      <c r="K6" s="101"/>
      <c r="L6" s="101"/>
      <c r="M6" s="101"/>
    </row>
    <row r="7" spans="1:13" ht="14.25" x14ac:dyDescent="0.2">
      <c r="A7" s="137" t="s">
        <v>39</v>
      </c>
      <c r="B7" s="138"/>
      <c r="C7" s="138"/>
      <c r="D7" s="138"/>
      <c r="E7" s="109"/>
      <c r="F7" s="16"/>
      <c r="G7" s="16"/>
      <c r="H7" s="17"/>
    </row>
    <row r="8" spans="1:13" ht="94.5" x14ac:dyDescent="0.2">
      <c r="A8" s="92" t="s">
        <v>1139</v>
      </c>
      <c r="B8" s="89" t="s">
        <v>1103</v>
      </c>
      <c r="C8" s="89" t="s">
        <v>1112</v>
      </c>
      <c r="D8" s="90">
        <v>2220</v>
      </c>
      <c r="E8" s="102">
        <v>7914</v>
      </c>
      <c r="F8" s="90" t="s">
        <v>768</v>
      </c>
      <c r="G8" s="12" t="s">
        <v>983</v>
      </c>
      <c r="H8" s="111"/>
      <c r="I8" s="24"/>
      <c r="J8" s="24"/>
    </row>
    <row r="9" spans="1:13" ht="126" x14ac:dyDescent="0.2">
      <c r="A9" s="92" t="s">
        <v>1138</v>
      </c>
      <c r="B9" s="89" t="s">
        <v>1104</v>
      </c>
      <c r="C9" s="89" t="s">
        <v>1113</v>
      </c>
      <c r="D9" s="90">
        <v>2220</v>
      </c>
      <c r="E9" s="102">
        <v>2940.7</v>
      </c>
      <c r="F9" s="90" t="s">
        <v>768</v>
      </c>
      <c r="G9" s="12" t="s">
        <v>983</v>
      </c>
      <c r="H9" s="111"/>
    </row>
    <row r="10" spans="1:13" ht="62.25" customHeight="1" x14ac:dyDescent="0.2">
      <c r="A10" s="92" t="s">
        <v>1142</v>
      </c>
      <c r="B10" s="89" t="s">
        <v>1102</v>
      </c>
      <c r="C10" s="89" t="s">
        <v>1111</v>
      </c>
      <c r="D10" s="90">
        <v>2220</v>
      </c>
      <c r="E10" s="102">
        <v>350</v>
      </c>
      <c r="F10" s="90" t="s">
        <v>701</v>
      </c>
      <c r="G10" s="12" t="s">
        <v>983</v>
      </c>
      <c r="H10" s="111"/>
      <c r="I10" s="24"/>
      <c r="J10" s="24"/>
    </row>
    <row r="11" spans="1:13" ht="78.75" x14ac:dyDescent="0.2">
      <c r="A11" s="92" t="s">
        <v>1137</v>
      </c>
      <c r="B11" s="89" t="s">
        <v>1143</v>
      </c>
      <c r="C11" s="89" t="s">
        <v>1114</v>
      </c>
      <c r="D11" s="90">
        <v>2210</v>
      </c>
      <c r="E11" s="102">
        <v>382</v>
      </c>
      <c r="F11" s="90" t="s">
        <v>701</v>
      </c>
      <c r="G11" s="12" t="s">
        <v>983</v>
      </c>
      <c r="H11" s="111"/>
    </row>
    <row r="12" spans="1:13" ht="78.75" x14ac:dyDescent="0.2">
      <c r="A12" s="92" t="s">
        <v>1135</v>
      </c>
      <c r="B12" s="89" t="s">
        <v>1106</v>
      </c>
      <c r="C12" s="89" t="s">
        <v>1136</v>
      </c>
      <c r="D12" s="90">
        <v>2220</v>
      </c>
      <c r="E12" s="102">
        <v>1450</v>
      </c>
      <c r="F12" s="90" t="s">
        <v>701</v>
      </c>
      <c r="G12" s="12" t="s">
        <v>983</v>
      </c>
      <c r="H12" s="111"/>
    </row>
    <row r="13" spans="1:13" ht="78.75" x14ac:dyDescent="0.2">
      <c r="A13" s="92" t="s">
        <v>1134</v>
      </c>
      <c r="B13" s="89" t="s">
        <v>1105</v>
      </c>
      <c r="C13" s="89" t="s">
        <v>1115</v>
      </c>
      <c r="D13" s="90">
        <v>2210</v>
      </c>
      <c r="E13" s="102">
        <v>1812.45</v>
      </c>
      <c r="F13" s="90" t="s">
        <v>701</v>
      </c>
      <c r="G13" s="12" t="s">
        <v>983</v>
      </c>
      <c r="H13" s="111"/>
    </row>
    <row r="14" spans="1:13" ht="78.75" x14ac:dyDescent="0.2">
      <c r="A14" s="92" t="s">
        <v>1133</v>
      </c>
      <c r="B14" s="89" t="s">
        <v>1107</v>
      </c>
      <c r="C14" s="89" t="s">
        <v>1116</v>
      </c>
      <c r="D14" s="90">
        <v>2210</v>
      </c>
      <c r="E14" s="102">
        <v>790</v>
      </c>
      <c r="F14" s="90" t="s">
        <v>701</v>
      </c>
      <c r="G14" s="12" t="s">
        <v>983</v>
      </c>
      <c r="H14" s="111"/>
    </row>
    <row r="15" spans="1:13" ht="126" x14ac:dyDescent="0.2">
      <c r="A15" s="92" t="s">
        <v>1132</v>
      </c>
      <c r="B15" s="89" t="s">
        <v>1108</v>
      </c>
      <c r="C15" s="89" t="s">
        <v>1117</v>
      </c>
      <c r="D15" s="90">
        <v>2210</v>
      </c>
      <c r="E15" s="102">
        <v>780</v>
      </c>
      <c r="F15" s="90" t="s">
        <v>701</v>
      </c>
      <c r="G15" s="12" t="s">
        <v>983</v>
      </c>
      <c r="H15" s="111"/>
    </row>
    <row r="16" spans="1:13" ht="78.75" x14ac:dyDescent="0.2">
      <c r="A16" s="92" t="s">
        <v>1140</v>
      </c>
      <c r="B16" s="89" t="s">
        <v>1109</v>
      </c>
      <c r="C16" s="89" t="s">
        <v>1118</v>
      </c>
      <c r="D16" s="90">
        <v>2220</v>
      </c>
      <c r="E16" s="102">
        <v>518.4</v>
      </c>
      <c r="F16" s="90" t="s">
        <v>701</v>
      </c>
      <c r="G16" s="12" t="s">
        <v>983</v>
      </c>
      <c r="H16" s="111"/>
    </row>
    <row r="17" spans="1:10" ht="78.75" x14ac:dyDescent="0.2">
      <c r="A17" s="92" t="s">
        <v>1131</v>
      </c>
      <c r="B17" s="89" t="s">
        <v>1105</v>
      </c>
      <c r="C17" s="89" t="s">
        <v>1122</v>
      </c>
      <c r="D17" s="90">
        <v>2220</v>
      </c>
      <c r="E17" s="102">
        <v>1044.1199999999999</v>
      </c>
      <c r="F17" s="90" t="s">
        <v>701</v>
      </c>
      <c r="G17" s="12" t="s">
        <v>983</v>
      </c>
      <c r="H17" s="111"/>
    </row>
    <row r="18" spans="1:10" ht="78.75" x14ac:dyDescent="0.2">
      <c r="A18" s="92" t="s">
        <v>1130</v>
      </c>
      <c r="B18" s="89" t="s">
        <v>1105</v>
      </c>
      <c r="C18" s="89" t="s">
        <v>1120</v>
      </c>
      <c r="D18" s="90"/>
      <c r="E18" s="102">
        <v>153.12</v>
      </c>
      <c r="F18" s="90" t="s">
        <v>701</v>
      </c>
      <c r="G18" s="12" t="s">
        <v>983</v>
      </c>
      <c r="H18" s="111"/>
    </row>
    <row r="19" spans="1:10" ht="78.75" x14ac:dyDescent="0.2">
      <c r="A19" s="92" t="s">
        <v>1129</v>
      </c>
      <c r="B19" s="89" t="s">
        <v>1105</v>
      </c>
      <c r="C19" s="89" t="s">
        <v>1119</v>
      </c>
      <c r="D19" s="90">
        <v>2210</v>
      </c>
      <c r="E19" s="102">
        <v>187.44</v>
      </c>
      <c r="F19" s="90" t="s">
        <v>701</v>
      </c>
      <c r="G19" s="12" t="s">
        <v>983</v>
      </c>
      <c r="H19" s="111"/>
    </row>
    <row r="20" spans="1:10" ht="78.75" x14ac:dyDescent="0.2">
      <c r="A20" s="92" t="s">
        <v>1128</v>
      </c>
      <c r="B20" s="89" t="s">
        <v>1105</v>
      </c>
      <c r="C20" s="89" t="s">
        <v>1123</v>
      </c>
      <c r="D20" s="90">
        <v>2210</v>
      </c>
      <c r="E20" s="102">
        <v>155.5</v>
      </c>
      <c r="F20" s="90" t="s">
        <v>701</v>
      </c>
      <c r="G20" s="12" t="s">
        <v>983</v>
      </c>
      <c r="H20" s="111"/>
    </row>
    <row r="21" spans="1:10" ht="78.75" x14ac:dyDescent="0.2">
      <c r="A21" s="92" t="s">
        <v>1127</v>
      </c>
      <c r="B21" s="89" t="s">
        <v>791</v>
      </c>
      <c r="C21" s="89" t="s">
        <v>1121</v>
      </c>
      <c r="D21" s="90">
        <v>2210</v>
      </c>
      <c r="E21" s="102">
        <v>300</v>
      </c>
      <c r="F21" s="90" t="s">
        <v>701</v>
      </c>
      <c r="G21" s="12" t="s">
        <v>983</v>
      </c>
      <c r="H21" s="111"/>
    </row>
    <row r="22" spans="1:10" ht="78.75" x14ac:dyDescent="0.2">
      <c r="A22" s="92" t="s">
        <v>1126</v>
      </c>
      <c r="B22" s="89" t="s">
        <v>1110</v>
      </c>
      <c r="C22" s="89" t="s">
        <v>1124</v>
      </c>
      <c r="D22" s="90">
        <v>2210</v>
      </c>
      <c r="E22" s="102">
        <v>120</v>
      </c>
      <c r="F22" s="90" t="s">
        <v>701</v>
      </c>
      <c r="G22" s="12" t="s">
        <v>983</v>
      </c>
      <c r="H22" s="111"/>
    </row>
    <row r="23" spans="1:10" ht="78.75" x14ac:dyDescent="0.2">
      <c r="A23" s="92" t="s">
        <v>1141</v>
      </c>
      <c r="B23" s="89" t="s">
        <v>1105</v>
      </c>
      <c r="C23" s="89" t="s">
        <v>1120</v>
      </c>
      <c r="D23" s="90">
        <v>2210</v>
      </c>
      <c r="E23" s="102">
        <v>273.8</v>
      </c>
      <c r="F23" s="90" t="s">
        <v>701</v>
      </c>
      <c r="G23" s="12" t="s">
        <v>983</v>
      </c>
      <c r="H23" s="111"/>
    </row>
    <row r="24" spans="1:10" ht="62.25" customHeight="1" x14ac:dyDescent="0.2">
      <c r="A24" s="19" t="s">
        <v>699</v>
      </c>
      <c r="B24" s="20" t="s">
        <v>697</v>
      </c>
      <c r="C24" s="12" t="s">
        <v>698</v>
      </c>
      <c r="D24" s="21">
        <v>2210</v>
      </c>
      <c r="E24" s="12">
        <v>10083.049999999999</v>
      </c>
      <c r="F24" s="12" t="s">
        <v>701</v>
      </c>
      <c r="G24" s="12" t="s">
        <v>700</v>
      </c>
      <c r="H24" s="58" t="s">
        <v>889</v>
      </c>
      <c r="I24" s="24"/>
      <c r="J24" s="24"/>
    </row>
    <row r="25" spans="1:10" ht="20.25" customHeight="1" thickBot="1" x14ac:dyDescent="0.25">
      <c r="A25" s="152" t="s">
        <v>1125</v>
      </c>
      <c r="B25" s="153"/>
      <c r="C25" s="153"/>
      <c r="D25" s="153"/>
      <c r="E25" s="153"/>
      <c r="F25" s="154"/>
      <c r="G25" s="154"/>
      <c r="H25" s="155"/>
    </row>
    <row r="26" spans="1:10" ht="38.25" customHeight="1" thickBot="1" x14ac:dyDescent="0.3">
      <c r="A26" s="112"/>
      <c r="B26" s="113"/>
      <c r="C26" s="114"/>
      <c r="D26" s="115"/>
      <c r="E26" s="116"/>
      <c r="F26" s="117"/>
      <c r="G26" s="117"/>
      <c r="H26" s="118"/>
    </row>
  </sheetData>
  <mergeCells count="13">
    <mergeCell ref="H4:H5"/>
    <mergeCell ref="A7:D7"/>
    <mergeCell ref="A25:H25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topLeftCell="A30" zoomScaleNormal="100" zoomScaleSheetLayoutView="100" workbookViewId="0">
      <selection activeCell="E19" sqref="E19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5" customWidth="1"/>
    <col min="5" max="5" width="15" style="75" customWidth="1"/>
    <col min="6" max="6" width="13.7109375" style="3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107">
        <v>1</v>
      </c>
      <c r="B6" s="76">
        <v>2</v>
      </c>
      <c r="C6" s="108">
        <v>3</v>
      </c>
      <c r="D6" s="108">
        <v>4</v>
      </c>
      <c r="E6" s="12">
        <v>5</v>
      </c>
      <c r="F6" s="76">
        <v>6</v>
      </c>
      <c r="G6" s="108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60" x14ac:dyDescent="0.2">
      <c r="A8" s="105" t="s">
        <v>1064</v>
      </c>
      <c r="B8" s="119" t="s">
        <v>826</v>
      </c>
      <c r="C8" s="119" t="s">
        <v>827</v>
      </c>
      <c r="D8" s="120">
        <v>2210</v>
      </c>
      <c r="E8" s="130">
        <v>740</v>
      </c>
      <c r="F8" s="120" t="s">
        <v>701</v>
      </c>
      <c r="G8" s="12" t="s">
        <v>983</v>
      </c>
      <c r="H8" s="17"/>
    </row>
    <row r="9" spans="1:10" ht="62.25" customHeight="1" x14ac:dyDescent="0.2">
      <c r="A9" s="105" t="s">
        <v>979</v>
      </c>
      <c r="B9" s="119" t="s">
        <v>837</v>
      </c>
      <c r="C9" s="119" t="s">
        <v>838</v>
      </c>
      <c r="D9" s="120">
        <v>2210</v>
      </c>
      <c r="E9" s="130">
        <v>1300</v>
      </c>
      <c r="F9" s="120" t="s">
        <v>701</v>
      </c>
      <c r="G9" s="12" t="s">
        <v>983</v>
      </c>
      <c r="H9" s="22"/>
      <c r="I9" s="24"/>
      <c r="J9" s="24"/>
    </row>
    <row r="10" spans="1:10" ht="62.25" customHeight="1" x14ac:dyDescent="0.2">
      <c r="A10" s="105" t="s">
        <v>1063</v>
      </c>
      <c r="B10" s="119" t="s">
        <v>1065</v>
      </c>
      <c r="C10" s="119" t="s">
        <v>1082</v>
      </c>
      <c r="D10" s="120">
        <v>2210</v>
      </c>
      <c r="E10" s="130">
        <v>329.1</v>
      </c>
      <c r="F10" s="120" t="s">
        <v>701</v>
      </c>
      <c r="G10" s="12" t="s">
        <v>983</v>
      </c>
      <c r="H10" s="22"/>
      <c r="I10" s="24"/>
      <c r="J10" s="24"/>
    </row>
    <row r="11" spans="1:10" ht="62.25" customHeight="1" x14ac:dyDescent="0.2">
      <c r="A11" s="105" t="s">
        <v>1062</v>
      </c>
      <c r="B11" s="119" t="s">
        <v>1066</v>
      </c>
      <c r="C11" s="119" t="s">
        <v>1095</v>
      </c>
      <c r="D11" s="120">
        <v>2210</v>
      </c>
      <c r="E11" s="130">
        <v>1875</v>
      </c>
      <c r="F11" s="120" t="s">
        <v>701</v>
      </c>
      <c r="G11" s="12" t="s">
        <v>983</v>
      </c>
      <c r="H11" s="22"/>
      <c r="I11" s="24"/>
      <c r="J11" s="24"/>
    </row>
    <row r="12" spans="1:10" ht="120" x14ac:dyDescent="0.2">
      <c r="A12" s="105" t="s">
        <v>1061</v>
      </c>
      <c r="B12" s="119" t="s">
        <v>1067</v>
      </c>
      <c r="C12" s="119" t="s">
        <v>1094</v>
      </c>
      <c r="D12" s="120">
        <v>2240</v>
      </c>
      <c r="E12" s="130">
        <v>68.14</v>
      </c>
      <c r="F12" s="120" t="s">
        <v>701</v>
      </c>
      <c r="G12" s="12" t="s">
        <v>983</v>
      </c>
      <c r="H12" s="22"/>
      <c r="I12" s="24"/>
      <c r="J12" s="24"/>
    </row>
    <row r="13" spans="1:10" ht="75" x14ac:dyDescent="0.2">
      <c r="A13" s="105" t="s">
        <v>1060</v>
      </c>
      <c r="B13" s="119" t="s">
        <v>1068</v>
      </c>
      <c r="C13" s="119" t="s">
        <v>1093</v>
      </c>
      <c r="D13" s="120">
        <v>2240</v>
      </c>
      <c r="E13" s="130">
        <v>630</v>
      </c>
      <c r="F13" s="120" t="s">
        <v>701</v>
      </c>
      <c r="G13" s="12" t="s">
        <v>983</v>
      </c>
      <c r="H13" s="22"/>
      <c r="I13" s="24"/>
      <c r="J13" s="24"/>
    </row>
    <row r="14" spans="1:10" ht="60" x14ac:dyDescent="0.2">
      <c r="A14" s="105" t="s">
        <v>1059</v>
      </c>
      <c r="B14" s="119" t="s">
        <v>1069</v>
      </c>
      <c r="C14" s="119" t="s">
        <v>1092</v>
      </c>
      <c r="D14" s="120">
        <v>2240</v>
      </c>
      <c r="E14" s="130">
        <v>4856</v>
      </c>
      <c r="F14" s="120" t="s">
        <v>701</v>
      </c>
      <c r="G14" s="12" t="s">
        <v>983</v>
      </c>
      <c r="H14" s="22"/>
      <c r="I14" s="24"/>
      <c r="J14" s="24"/>
    </row>
    <row r="15" spans="1:10" ht="75" x14ac:dyDescent="0.2">
      <c r="A15" s="105" t="s">
        <v>1058</v>
      </c>
      <c r="B15" s="119" t="s">
        <v>1096</v>
      </c>
      <c r="C15" s="119" t="s">
        <v>1091</v>
      </c>
      <c r="D15" s="120">
        <v>2210</v>
      </c>
      <c r="E15" s="130">
        <v>13950</v>
      </c>
      <c r="F15" s="120" t="s">
        <v>701</v>
      </c>
      <c r="G15" s="12" t="s">
        <v>983</v>
      </c>
      <c r="H15" s="58"/>
      <c r="I15" s="24"/>
      <c r="J15" s="24"/>
    </row>
    <row r="16" spans="1:10" ht="75" x14ac:dyDescent="0.2">
      <c r="A16" s="105" t="s">
        <v>1057</v>
      </c>
      <c r="B16" s="119" t="s">
        <v>1070</v>
      </c>
      <c r="C16" s="119" t="s">
        <v>1090</v>
      </c>
      <c r="D16" s="120">
        <v>2210</v>
      </c>
      <c r="E16" s="130">
        <v>362.5</v>
      </c>
      <c r="F16" s="120" t="s">
        <v>701</v>
      </c>
      <c r="G16" s="12" t="s">
        <v>983</v>
      </c>
      <c r="H16" s="17"/>
    </row>
    <row r="17" spans="1:12" ht="62.25" customHeight="1" x14ac:dyDescent="0.2">
      <c r="A17" s="105" t="s">
        <v>1056</v>
      </c>
      <c r="B17" s="119" t="s">
        <v>1071</v>
      </c>
      <c r="C17" s="119" t="s">
        <v>1089</v>
      </c>
      <c r="D17" s="120">
        <v>2210</v>
      </c>
      <c r="E17" s="130">
        <v>149.65</v>
      </c>
      <c r="F17" s="120" t="s">
        <v>701</v>
      </c>
      <c r="G17" s="12" t="s">
        <v>983</v>
      </c>
      <c r="H17" s="22"/>
      <c r="I17" s="24"/>
      <c r="J17" s="24"/>
    </row>
    <row r="18" spans="1:12" ht="62.25" customHeight="1" x14ac:dyDescent="0.2">
      <c r="A18" s="105" t="s">
        <v>1055</v>
      </c>
      <c r="B18" s="119" t="s">
        <v>1072</v>
      </c>
      <c r="C18" s="119" t="s">
        <v>1088</v>
      </c>
      <c r="D18" s="120">
        <v>2210</v>
      </c>
      <c r="E18" s="130">
        <v>75</v>
      </c>
      <c r="F18" s="120" t="s">
        <v>701</v>
      </c>
      <c r="G18" s="12" t="s">
        <v>983</v>
      </c>
      <c r="H18" s="22"/>
      <c r="I18" s="24"/>
      <c r="J18" s="24"/>
    </row>
    <row r="19" spans="1:12" ht="62.25" customHeight="1" x14ac:dyDescent="0.2">
      <c r="A19" s="105" t="s">
        <v>1054</v>
      </c>
      <c r="B19" s="119" t="s">
        <v>1073</v>
      </c>
      <c r="C19" s="119" t="s">
        <v>1087</v>
      </c>
      <c r="D19" s="120">
        <v>2210</v>
      </c>
      <c r="E19" s="130">
        <v>43.5</v>
      </c>
      <c r="F19" s="120" t="s">
        <v>701</v>
      </c>
      <c r="G19" s="12" t="s">
        <v>983</v>
      </c>
      <c r="H19" s="22"/>
      <c r="I19" s="24"/>
      <c r="J19" s="24"/>
    </row>
    <row r="20" spans="1:12" ht="62.25" customHeight="1" x14ac:dyDescent="0.2">
      <c r="A20" s="105" t="s">
        <v>1053</v>
      </c>
      <c r="B20" s="119" t="s">
        <v>1074</v>
      </c>
      <c r="C20" s="119" t="s">
        <v>1085</v>
      </c>
      <c r="D20" s="120">
        <v>2220</v>
      </c>
      <c r="E20" s="130">
        <v>8476.5400000000009</v>
      </c>
      <c r="F20" s="120" t="s">
        <v>768</v>
      </c>
      <c r="G20" s="12" t="s">
        <v>983</v>
      </c>
      <c r="H20" s="22"/>
      <c r="I20" s="24"/>
      <c r="J20" s="24"/>
    </row>
    <row r="21" spans="1:12" ht="75" x14ac:dyDescent="0.2">
      <c r="A21" s="105" t="s">
        <v>1052</v>
      </c>
      <c r="B21" s="119" t="s">
        <v>1075</v>
      </c>
      <c r="C21" s="119" t="s">
        <v>1086</v>
      </c>
      <c r="D21" s="120">
        <v>2220</v>
      </c>
      <c r="E21" s="130">
        <v>1612.49</v>
      </c>
      <c r="F21" s="120" t="s">
        <v>701</v>
      </c>
      <c r="G21" s="12" t="s">
        <v>983</v>
      </c>
      <c r="H21" s="22"/>
      <c r="I21" s="24"/>
      <c r="J21" s="24"/>
    </row>
    <row r="22" spans="1:12" ht="60" x14ac:dyDescent="0.2">
      <c r="A22" s="105" t="s">
        <v>1051</v>
      </c>
      <c r="B22" s="119" t="s">
        <v>1076</v>
      </c>
      <c r="C22" s="119" t="s">
        <v>1086</v>
      </c>
      <c r="D22" s="120">
        <v>2220</v>
      </c>
      <c r="E22" s="130">
        <v>7860.22</v>
      </c>
      <c r="F22" s="120" t="s">
        <v>701</v>
      </c>
      <c r="G22" s="12" t="s">
        <v>983</v>
      </c>
      <c r="H22" s="22"/>
      <c r="I22" s="24"/>
      <c r="J22" s="24"/>
    </row>
    <row r="23" spans="1:12" ht="165" x14ac:dyDescent="0.2">
      <c r="A23" s="105" t="s">
        <v>1050</v>
      </c>
      <c r="B23" s="119" t="s">
        <v>1077</v>
      </c>
      <c r="C23" s="119" t="s">
        <v>1086</v>
      </c>
      <c r="D23" s="120">
        <v>2220</v>
      </c>
      <c r="E23" s="130">
        <v>1010.08</v>
      </c>
      <c r="F23" s="120" t="s">
        <v>701</v>
      </c>
      <c r="G23" s="12" t="s">
        <v>983</v>
      </c>
      <c r="H23" s="22"/>
      <c r="I23" s="24"/>
      <c r="J23" s="24"/>
    </row>
    <row r="24" spans="1:12" ht="60" x14ac:dyDescent="0.2">
      <c r="A24" s="105" t="s">
        <v>1049</v>
      </c>
      <c r="B24" s="119" t="s">
        <v>1076</v>
      </c>
      <c r="C24" s="119" t="s">
        <v>1085</v>
      </c>
      <c r="D24" s="120">
        <v>2220</v>
      </c>
      <c r="E24" s="130">
        <v>304.95</v>
      </c>
      <c r="F24" s="120" t="s">
        <v>701</v>
      </c>
      <c r="G24" s="12" t="s">
        <v>983</v>
      </c>
      <c r="H24" s="58"/>
      <c r="I24" s="24"/>
      <c r="J24" s="24"/>
    </row>
    <row r="25" spans="1:12" ht="60" x14ac:dyDescent="0.2">
      <c r="A25" s="105" t="s">
        <v>1048</v>
      </c>
      <c r="B25" s="119" t="s">
        <v>1078</v>
      </c>
      <c r="C25" s="119" t="s">
        <v>1083</v>
      </c>
      <c r="D25" s="120">
        <v>2220</v>
      </c>
      <c r="E25" s="130">
        <v>4900.6000000000004</v>
      </c>
      <c r="F25" s="120" t="s">
        <v>701</v>
      </c>
      <c r="G25" s="12" t="s">
        <v>983</v>
      </c>
      <c r="H25" s="58"/>
      <c r="I25" s="24"/>
      <c r="J25" s="24"/>
    </row>
    <row r="26" spans="1:12" ht="139.5" customHeight="1" x14ac:dyDescent="0.2">
      <c r="A26" s="105" t="s">
        <v>1047</v>
      </c>
      <c r="B26" s="119" t="s">
        <v>1145</v>
      </c>
      <c r="C26" s="119" t="s">
        <v>1084</v>
      </c>
      <c r="D26" s="120">
        <v>2220</v>
      </c>
      <c r="E26" s="130">
        <v>915.17</v>
      </c>
      <c r="F26" s="120" t="s">
        <v>701</v>
      </c>
      <c r="G26" s="12" t="s">
        <v>983</v>
      </c>
      <c r="H26" s="58"/>
      <c r="I26" s="24"/>
      <c r="J26" s="24"/>
    </row>
    <row r="27" spans="1:12" ht="60" x14ac:dyDescent="0.2">
      <c r="A27" s="105" t="s">
        <v>1046</v>
      </c>
      <c r="B27" s="119" t="s">
        <v>1079</v>
      </c>
      <c r="C27" s="119" t="s">
        <v>1083</v>
      </c>
      <c r="D27" s="120">
        <v>2220</v>
      </c>
      <c r="E27" s="130">
        <v>1107.02</v>
      </c>
      <c r="F27" s="120" t="s">
        <v>701</v>
      </c>
      <c r="G27" s="12" t="s">
        <v>983</v>
      </c>
      <c r="H27" s="58"/>
      <c r="I27" s="24"/>
      <c r="J27" s="24"/>
    </row>
    <row r="28" spans="1:12" ht="54.75" customHeight="1" x14ac:dyDescent="0.2">
      <c r="A28" s="105" t="s">
        <v>1144</v>
      </c>
      <c r="B28" s="119" t="s">
        <v>1080</v>
      </c>
      <c r="C28" s="119" t="s">
        <v>1081</v>
      </c>
      <c r="D28" s="120">
        <v>2220</v>
      </c>
      <c r="E28" s="130">
        <v>21.56</v>
      </c>
      <c r="F28" s="120" t="s">
        <v>768</v>
      </c>
      <c r="G28" s="12" t="s">
        <v>983</v>
      </c>
      <c r="H28" s="58"/>
      <c r="I28" s="24"/>
      <c r="J28" s="24"/>
    </row>
    <row r="29" spans="1:12" ht="20.25" customHeight="1" thickBot="1" x14ac:dyDescent="0.25">
      <c r="A29" s="139" t="s">
        <v>1101</v>
      </c>
      <c r="B29" s="140"/>
      <c r="C29" s="140"/>
      <c r="D29" s="140"/>
      <c r="E29" s="140"/>
      <c r="F29" s="141"/>
      <c r="G29" s="141"/>
      <c r="H29" s="142"/>
    </row>
    <row r="30" spans="1:12" ht="38.25" customHeight="1" x14ac:dyDescent="0.25">
      <c r="A30" s="66"/>
      <c r="B30" s="77"/>
      <c r="C30" s="66"/>
      <c r="D30" s="106"/>
      <c r="E30" s="4"/>
      <c r="F30" s="4"/>
      <c r="G30" s="4"/>
      <c r="H30" s="65"/>
    </row>
    <row r="31" spans="1:12" s="5" customFormat="1" ht="38.25" customHeight="1" x14ac:dyDescent="0.2">
      <c r="A31" s="3"/>
      <c r="B31" s="78"/>
      <c r="C31" s="3"/>
      <c r="E31" s="75"/>
      <c r="F31" s="3"/>
      <c r="G31" s="3"/>
      <c r="H31" s="3"/>
      <c r="I31" s="3"/>
      <c r="J31" s="3"/>
      <c r="K31" s="3"/>
      <c r="L31" s="3"/>
    </row>
    <row r="32" spans="1:12" s="5" customFormat="1" ht="38.25" customHeight="1" x14ac:dyDescent="0.2">
      <c r="A32" s="3"/>
      <c r="B32" s="78"/>
      <c r="C32" s="95"/>
      <c r="E32" s="75"/>
      <c r="F32" s="3"/>
      <c r="G32" s="3"/>
      <c r="H32" s="3"/>
      <c r="I32" s="3"/>
      <c r="J32" s="3"/>
      <c r="K32" s="3"/>
      <c r="L32" s="3"/>
    </row>
    <row r="33" spans="1:12" s="5" customFormat="1" ht="38.25" customHeight="1" x14ac:dyDescent="0.2">
      <c r="A33" s="3"/>
      <c r="B33" s="78"/>
      <c r="E33" s="75"/>
      <c r="F33" s="3"/>
      <c r="G33" s="3"/>
      <c r="H33" s="3"/>
      <c r="I33" s="3"/>
      <c r="J33" s="3"/>
      <c r="K33" s="3"/>
      <c r="L33" s="3"/>
    </row>
    <row r="34" spans="1:12" s="5" customFormat="1" ht="38.25" customHeight="1" x14ac:dyDescent="0.2">
      <c r="A34" s="3"/>
      <c r="B34" s="78"/>
      <c r="E34" s="75"/>
      <c r="F34" s="3"/>
      <c r="G34" s="3"/>
      <c r="H34" s="3"/>
      <c r="I34" s="3"/>
      <c r="J34" s="3"/>
      <c r="K34" s="3"/>
      <c r="L34" s="3"/>
    </row>
    <row r="42" spans="1:12" ht="38.25" customHeight="1" x14ac:dyDescent="0.2">
      <c r="C42" s="95"/>
    </row>
    <row r="43" spans="1:12" ht="38.25" customHeight="1" x14ac:dyDescent="0.2">
      <c r="C43" s="95"/>
    </row>
    <row r="44" spans="1:12" ht="38.25" customHeight="1" x14ac:dyDescent="0.2">
      <c r="C44" s="95"/>
    </row>
    <row r="45" spans="1:12" ht="38.25" customHeight="1" x14ac:dyDescent="0.2">
      <c r="C45" s="95"/>
    </row>
    <row r="46" spans="1:12" ht="38.25" customHeight="1" x14ac:dyDescent="0.2">
      <c r="C46" s="95"/>
    </row>
    <row r="47" spans="1:12" ht="38.25" customHeight="1" x14ac:dyDescent="0.2">
      <c r="C47" s="95"/>
    </row>
    <row r="48" spans="1:12" ht="38.25" customHeight="1" x14ac:dyDescent="0.2">
      <c r="C48" s="95"/>
    </row>
    <row r="49" spans="3:3" ht="38.25" customHeight="1" x14ac:dyDescent="0.2">
      <c r="C49" s="95"/>
    </row>
  </sheetData>
  <mergeCells count="14">
    <mergeCell ref="H4:H5"/>
    <mergeCell ref="I5:I6"/>
    <mergeCell ref="A7:D7"/>
    <mergeCell ref="A29:H29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4" zoomScaleNormal="100" zoomScaleSheetLayoutView="100" workbookViewId="0">
      <selection activeCell="D8" sqref="D8:F16"/>
    </sheetView>
  </sheetViews>
  <sheetFormatPr defaultRowHeight="38.25" customHeight="1" x14ac:dyDescent="0.2"/>
  <cols>
    <col min="1" max="1" width="23" style="3" customWidth="1"/>
    <col min="2" max="2" width="33.5703125" style="78" customWidth="1"/>
    <col min="3" max="3" width="36.85546875" style="3" customWidth="1"/>
    <col min="4" max="4" width="9" style="3" customWidth="1"/>
    <col min="5" max="5" width="15" style="75" customWidth="1"/>
    <col min="6" max="6" width="13.7109375" style="3" customWidth="1"/>
    <col min="7" max="7" width="14.140625" style="3" customWidth="1"/>
    <col min="8" max="8" width="21.7109375" style="3" customWidth="1"/>
    <col min="9" max="9" width="16.85546875" style="3" customWidth="1"/>
    <col min="10" max="10" width="19.85546875" style="3" customWidth="1"/>
    <col min="11" max="11" width="9.140625" style="3"/>
    <col min="12" max="12" width="11.140625" style="3" customWidth="1"/>
    <col min="13" max="14" width="9.140625" style="3" customWidth="1"/>
    <col min="15" max="16384" width="9.140625" style="3"/>
  </cols>
  <sheetData>
    <row r="1" spans="1:10" ht="14.25" customHeight="1" x14ac:dyDescent="0.2">
      <c r="A1" s="143" t="s">
        <v>0</v>
      </c>
      <c r="B1" s="143"/>
      <c r="C1" s="143"/>
      <c r="D1" s="143"/>
      <c r="E1" s="143"/>
      <c r="F1" s="143"/>
      <c r="G1" s="143"/>
      <c r="H1" s="143"/>
    </row>
    <row r="2" spans="1:10" ht="30" customHeight="1" x14ac:dyDescent="0.2">
      <c r="A2" s="143" t="s">
        <v>708</v>
      </c>
      <c r="B2" s="143"/>
      <c r="C2" s="143"/>
      <c r="D2" s="143"/>
      <c r="E2" s="143"/>
      <c r="F2" s="143"/>
      <c r="G2" s="143"/>
      <c r="H2" s="143"/>
    </row>
    <row r="3" spans="1:10" ht="15.75" customHeight="1" thickBot="1" x14ac:dyDescent="0.25">
      <c r="A3" s="143" t="s">
        <v>2</v>
      </c>
      <c r="B3" s="143"/>
      <c r="C3" s="143"/>
      <c r="D3" s="143"/>
      <c r="E3" s="143"/>
      <c r="F3" s="143"/>
      <c r="G3" s="143"/>
      <c r="H3" s="143"/>
    </row>
    <row r="4" spans="1:10" ht="38.25" customHeight="1" x14ac:dyDescent="0.2">
      <c r="A4" s="144" t="s">
        <v>692</v>
      </c>
      <c r="B4" s="145" t="s">
        <v>693</v>
      </c>
      <c r="C4" s="147" t="s">
        <v>694</v>
      </c>
      <c r="D4" s="147" t="s">
        <v>4</v>
      </c>
      <c r="E4" s="148" t="s">
        <v>695</v>
      </c>
      <c r="F4" s="150" t="s">
        <v>33</v>
      </c>
      <c r="G4" s="150" t="s">
        <v>34</v>
      </c>
      <c r="H4" s="134" t="s">
        <v>7</v>
      </c>
    </row>
    <row r="5" spans="1:10" ht="89.25" customHeight="1" x14ac:dyDescent="0.2">
      <c r="A5" s="137"/>
      <c r="B5" s="146"/>
      <c r="C5" s="138"/>
      <c r="D5" s="138"/>
      <c r="E5" s="149"/>
      <c r="F5" s="151"/>
      <c r="G5" s="151"/>
      <c r="H5" s="135"/>
      <c r="I5" s="136"/>
    </row>
    <row r="6" spans="1:10" ht="15.75" customHeight="1" x14ac:dyDescent="0.2">
      <c r="A6" s="96">
        <v>1</v>
      </c>
      <c r="B6" s="76">
        <v>2</v>
      </c>
      <c r="C6" s="97">
        <v>3</v>
      </c>
      <c r="D6" s="76">
        <v>4</v>
      </c>
      <c r="E6" s="97">
        <v>5</v>
      </c>
      <c r="F6" s="76">
        <v>6</v>
      </c>
      <c r="G6" s="97">
        <v>7</v>
      </c>
      <c r="H6" s="82">
        <v>8</v>
      </c>
      <c r="I6" s="136"/>
    </row>
    <row r="7" spans="1:10" ht="14.25" x14ac:dyDescent="0.2">
      <c r="A7" s="137" t="s">
        <v>39</v>
      </c>
      <c r="B7" s="138"/>
      <c r="C7" s="138"/>
      <c r="D7" s="138"/>
      <c r="E7" s="16"/>
      <c r="F7" s="14"/>
      <c r="G7" s="14"/>
      <c r="H7" s="17"/>
    </row>
    <row r="8" spans="1:10" ht="78.75" x14ac:dyDescent="0.2">
      <c r="A8" s="92" t="s">
        <v>980</v>
      </c>
      <c r="B8" s="91" t="s">
        <v>981</v>
      </c>
      <c r="C8" s="89" t="s">
        <v>982</v>
      </c>
      <c r="D8" s="21">
        <v>2220</v>
      </c>
      <c r="E8" s="12">
        <v>25.81</v>
      </c>
      <c r="F8" s="90" t="s">
        <v>701</v>
      </c>
      <c r="G8" s="12" t="s">
        <v>983</v>
      </c>
      <c r="H8" s="17"/>
    </row>
    <row r="9" spans="1:10" ht="62.25" customHeight="1" x14ac:dyDescent="0.2">
      <c r="A9" s="92" t="s">
        <v>977</v>
      </c>
      <c r="B9" s="91" t="s">
        <v>926</v>
      </c>
      <c r="C9" s="89" t="s">
        <v>978</v>
      </c>
      <c r="D9" s="21">
        <v>2220</v>
      </c>
      <c r="E9" s="12">
        <v>28379.61</v>
      </c>
      <c r="F9" s="12" t="s">
        <v>768</v>
      </c>
      <c r="G9" s="12" t="s">
        <v>983</v>
      </c>
      <c r="H9" s="22"/>
      <c r="I9" s="24"/>
      <c r="J9" s="24"/>
    </row>
    <row r="10" spans="1:10" ht="62.25" customHeight="1" x14ac:dyDescent="0.2">
      <c r="A10" s="92" t="s">
        <v>976</v>
      </c>
      <c r="B10" s="91" t="s">
        <v>796</v>
      </c>
      <c r="C10" s="89" t="s">
        <v>797</v>
      </c>
      <c r="D10" s="21">
        <v>2220</v>
      </c>
      <c r="E10" s="12">
        <v>1772.4</v>
      </c>
      <c r="F10" s="90" t="s">
        <v>701</v>
      </c>
      <c r="G10" s="12" t="s">
        <v>983</v>
      </c>
      <c r="H10" s="22"/>
      <c r="I10" s="24"/>
      <c r="J10" s="24"/>
    </row>
    <row r="11" spans="1:10" ht="62.25" customHeight="1" x14ac:dyDescent="0.2">
      <c r="A11" s="92" t="s">
        <v>975</v>
      </c>
      <c r="B11" s="91" t="s">
        <v>819</v>
      </c>
      <c r="C11" s="89" t="s">
        <v>917</v>
      </c>
      <c r="D11" s="21">
        <v>2220</v>
      </c>
      <c r="E11" s="12">
        <v>9268.75</v>
      </c>
      <c r="F11" s="12" t="s">
        <v>768</v>
      </c>
      <c r="G11" s="12" t="s">
        <v>983</v>
      </c>
      <c r="H11" s="22"/>
      <c r="I11" s="24"/>
      <c r="J11" s="24"/>
    </row>
    <row r="12" spans="1:10" ht="62.25" customHeight="1" x14ac:dyDescent="0.2">
      <c r="A12" s="92" t="s">
        <v>974</v>
      </c>
      <c r="B12" s="91" t="s">
        <v>826</v>
      </c>
      <c r="C12" s="89" t="s">
        <v>827</v>
      </c>
      <c r="D12" s="21">
        <v>2210</v>
      </c>
      <c r="E12" s="12">
        <v>300</v>
      </c>
      <c r="F12" s="90" t="s">
        <v>701</v>
      </c>
      <c r="G12" s="12" t="s">
        <v>983</v>
      </c>
      <c r="H12" s="22"/>
      <c r="I12" s="24"/>
      <c r="J12" s="24"/>
    </row>
    <row r="13" spans="1:10" ht="78.75" x14ac:dyDescent="0.2">
      <c r="A13" s="92" t="s">
        <v>971</v>
      </c>
      <c r="B13" s="91" t="s">
        <v>972</v>
      </c>
      <c r="C13" s="89" t="s">
        <v>973</v>
      </c>
      <c r="D13" s="21">
        <v>2210</v>
      </c>
      <c r="E13" s="12">
        <v>1215</v>
      </c>
      <c r="F13" s="90" t="s">
        <v>701</v>
      </c>
      <c r="G13" s="12" t="s">
        <v>983</v>
      </c>
      <c r="H13" s="22"/>
      <c r="I13" s="24"/>
      <c r="J13" s="24"/>
    </row>
    <row r="14" spans="1:10" ht="78.75" x14ac:dyDescent="0.2">
      <c r="A14" s="92" t="s">
        <v>970</v>
      </c>
      <c r="B14" s="91" t="s">
        <v>826</v>
      </c>
      <c r="C14" s="89" t="s">
        <v>911</v>
      </c>
      <c r="D14" s="21">
        <v>2210</v>
      </c>
      <c r="E14" s="12">
        <v>285</v>
      </c>
      <c r="F14" s="90" t="s">
        <v>701</v>
      </c>
      <c r="G14" s="12" t="s">
        <v>983</v>
      </c>
      <c r="H14" s="22"/>
      <c r="I14" s="24"/>
      <c r="J14" s="24"/>
    </row>
    <row r="15" spans="1:10" ht="78.75" x14ac:dyDescent="0.2">
      <c r="A15" s="92" t="s">
        <v>968</v>
      </c>
      <c r="B15" s="91" t="s">
        <v>879</v>
      </c>
      <c r="C15" s="89" t="s">
        <v>969</v>
      </c>
      <c r="D15" s="21">
        <v>2210</v>
      </c>
      <c r="E15" s="12">
        <v>174</v>
      </c>
      <c r="F15" s="90" t="s">
        <v>701</v>
      </c>
      <c r="G15" s="12" t="s">
        <v>983</v>
      </c>
      <c r="H15" s="22"/>
      <c r="I15" s="24"/>
      <c r="J15" s="24"/>
    </row>
    <row r="16" spans="1:10" ht="121.5" customHeight="1" x14ac:dyDescent="0.2">
      <c r="A16" s="92" t="s">
        <v>966</v>
      </c>
      <c r="B16" s="91" t="s">
        <v>952</v>
      </c>
      <c r="C16" s="89" t="s">
        <v>967</v>
      </c>
      <c r="D16" s="21">
        <v>2210</v>
      </c>
      <c r="E16" s="12">
        <v>1294.6400000000001</v>
      </c>
      <c r="F16" s="90" t="s">
        <v>701</v>
      </c>
      <c r="G16" s="12" t="s">
        <v>983</v>
      </c>
      <c r="H16" s="58"/>
      <c r="I16" s="24"/>
      <c r="J16" s="24"/>
    </row>
    <row r="17" spans="1:12" ht="20.25" customHeight="1" thickBot="1" x14ac:dyDescent="0.25">
      <c r="A17" s="152" t="s">
        <v>1100</v>
      </c>
      <c r="B17" s="153"/>
      <c r="C17" s="153"/>
      <c r="D17" s="153"/>
      <c r="E17" s="153"/>
      <c r="F17" s="154"/>
      <c r="G17" s="154"/>
      <c r="H17" s="155"/>
    </row>
    <row r="18" spans="1:12" ht="38.25" customHeight="1" x14ac:dyDescent="0.25">
      <c r="A18" s="66"/>
      <c r="B18" s="77"/>
      <c r="C18" s="66"/>
      <c r="D18" s="67"/>
      <c r="E18" s="4"/>
      <c r="F18" s="4"/>
      <c r="G18" s="4"/>
      <c r="H18" s="65"/>
    </row>
    <row r="19" spans="1:12" s="5" customFormat="1" ht="38.25" customHeight="1" x14ac:dyDescent="0.2">
      <c r="A19" s="3"/>
      <c r="B19" s="78"/>
      <c r="C19" s="3"/>
      <c r="D19" s="3"/>
      <c r="E19" s="75"/>
      <c r="F19" s="3"/>
      <c r="G19" s="3"/>
      <c r="H19" s="3"/>
      <c r="I19" s="3"/>
      <c r="J19" s="3"/>
      <c r="K19" s="3"/>
      <c r="L19" s="3"/>
    </row>
    <row r="20" spans="1:12" s="5" customFormat="1" ht="38.25" customHeight="1" x14ac:dyDescent="0.2">
      <c r="A20" s="3"/>
      <c r="B20" s="78"/>
      <c r="C20" s="95"/>
      <c r="D20" s="3"/>
      <c r="E20" s="75"/>
      <c r="F20" s="3"/>
      <c r="G20" s="3"/>
      <c r="H20" s="3"/>
      <c r="I20" s="3"/>
      <c r="J20" s="3"/>
      <c r="K20" s="3"/>
      <c r="L20" s="3"/>
    </row>
    <row r="21" spans="1:12" s="5" customFormat="1" ht="38.25" customHeight="1" x14ac:dyDescent="0.2">
      <c r="A21" s="3"/>
      <c r="B21" s="78"/>
      <c r="D21" s="3"/>
      <c r="E21" s="75"/>
      <c r="F21" s="3"/>
      <c r="G21" s="3"/>
      <c r="H21" s="3"/>
      <c r="I21" s="3"/>
      <c r="J21" s="3"/>
      <c r="K21" s="3"/>
      <c r="L21" s="3"/>
    </row>
    <row r="22" spans="1:12" s="5" customFormat="1" ht="38.25" customHeight="1" x14ac:dyDescent="0.2">
      <c r="A22" s="3"/>
      <c r="B22" s="78"/>
      <c r="D22" s="3"/>
      <c r="E22" s="75"/>
      <c r="F22" s="3"/>
      <c r="G22" s="3"/>
      <c r="H22" s="3"/>
      <c r="I22" s="3"/>
      <c r="J22" s="3"/>
      <c r="K22" s="3"/>
      <c r="L22" s="3"/>
    </row>
    <row r="30" spans="1:12" ht="38.25" customHeight="1" x14ac:dyDescent="0.2">
      <c r="C30" s="95"/>
    </row>
    <row r="31" spans="1:12" ht="38.25" customHeight="1" x14ac:dyDescent="0.2">
      <c r="C31" s="95"/>
    </row>
    <row r="32" spans="1:12" ht="38.25" customHeight="1" x14ac:dyDescent="0.2">
      <c r="C32" s="95"/>
    </row>
    <row r="33" spans="3:3" ht="38.25" customHeight="1" x14ac:dyDescent="0.2">
      <c r="C33" s="95"/>
    </row>
    <row r="34" spans="3:3" ht="38.25" customHeight="1" x14ac:dyDescent="0.2">
      <c r="C34" s="95"/>
    </row>
    <row r="35" spans="3:3" ht="38.25" customHeight="1" x14ac:dyDescent="0.2">
      <c r="C35" s="95"/>
    </row>
    <row r="36" spans="3:3" ht="38.25" customHeight="1" x14ac:dyDescent="0.2">
      <c r="C36" s="95"/>
    </row>
    <row r="37" spans="3:3" ht="38.25" customHeight="1" x14ac:dyDescent="0.2">
      <c r="C37" s="95"/>
    </row>
  </sheetData>
  <mergeCells count="14">
    <mergeCell ref="H4:H5"/>
    <mergeCell ref="I5:I6"/>
    <mergeCell ref="A7:D7"/>
    <mergeCell ref="A17:H17"/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</mergeCells>
  <pageMargins left="0.59055118110236227" right="0" top="0.43307086614173229" bottom="0.19685039370078741" header="0.27559055118110237" footer="0.23622047244094491"/>
  <pageSetup paperSize="9" scale="55" orientation="portrait" horizontalDpi="200" verticalDpi="200" r:id="rId1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31</vt:i4>
      </vt:variant>
    </vt:vector>
  </HeadingPairs>
  <TitlesOfParts>
    <vt:vector size="47" baseType="lpstr">
      <vt:lpstr>21.11-28</vt:lpstr>
      <vt:lpstr>14.11-25</vt:lpstr>
      <vt:lpstr>08.11-23</vt:lpstr>
      <vt:lpstr>04.11-22</vt:lpstr>
      <vt:lpstr>31.10-21</vt:lpstr>
      <vt:lpstr>24.10-20</vt:lpstr>
      <vt:lpstr>17,10-17</vt:lpstr>
      <vt:lpstr>10.10-15</vt:lpstr>
      <vt:lpstr>03,10-13</vt:lpstr>
      <vt:lpstr>29,09-12</vt:lpstr>
      <vt:lpstr>23,09-10</vt:lpstr>
      <vt:lpstr>13,09-8</vt:lpstr>
      <vt:lpstr>08,09-4</vt:lpstr>
      <vt:lpstr>31.08-3</vt:lpstr>
      <vt:lpstr>25.08-2</vt:lpstr>
      <vt:lpstr>04.07-23</vt:lpstr>
      <vt:lpstr>'03,10-13'!Заголовки_для_печати</vt:lpstr>
      <vt:lpstr>'04.07-23'!Заголовки_для_печати</vt:lpstr>
      <vt:lpstr>'04.11-22'!Заголовки_для_печати</vt:lpstr>
      <vt:lpstr>'08,09-4'!Заголовки_для_печати</vt:lpstr>
      <vt:lpstr>'08.11-23'!Заголовки_для_печати</vt:lpstr>
      <vt:lpstr>'10.10-15'!Заголовки_для_печати</vt:lpstr>
      <vt:lpstr>'13,09-8'!Заголовки_для_печати</vt:lpstr>
      <vt:lpstr>'14.11-25'!Заголовки_для_печати</vt:lpstr>
      <vt:lpstr>'17,10-17'!Заголовки_для_печати</vt:lpstr>
      <vt:lpstr>'21.11-28'!Заголовки_для_печати</vt:lpstr>
      <vt:lpstr>'23,09-10'!Заголовки_для_печати</vt:lpstr>
      <vt:lpstr>'24.10-20'!Заголовки_для_печати</vt:lpstr>
      <vt:lpstr>'25.08-2'!Заголовки_для_печати</vt:lpstr>
      <vt:lpstr>'29,09-12'!Заголовки_для_печати</vt:lpstr>
      <vt:lpstr>'31.08-3'!Заголовки_для_печати</vt:lpstr>
      <vt:lpstr>'31.10-21'!Заголовки_для_печати</vt:lpstr>
      <vt:lpstr>'03,10-13'!Область_печати</vt:lpstr>
      <vt:lpstr>'04.11-22'!Область_печати</vt:lpstr>
      <vt:lpstr>'08,09-4'!Область_печати</vt:lpstr>
      <vt:lpstr>'08.11-23'!Область_печати</vt:lpstr>
      <vt:lpstr>'10.10-15'!Область_печати</vt:lpstr>
      <vt:lpstr>'13,09-8'!Область_печати</vt:lpstr>
      <vt:lpstr>'14.11-25'!Область_печати</vt:lpstr>
      <vt:lpstr>'17,10-17'!Область_печати</vt:lpstr>
      <vt:lpstr>'21.11-28'!Область_печати</vt:lpstr>
      <vt:lpstr>'23,09-10'!Область_печати</vt:lpstr>
      <vt:lpstr>'24.10-20'!Область_печати</vt:lpstr>
      <vt:lpstr>'25.08-2'!Область_печати</vt:lpstr>
      <vt:lpstr>'29,09-12'!Область_печати</vt:lpstr>
      <vt:lpstr>'31.08-3'!Область_печати</vt:lpstr>
      <vt:lpstr>'31.10-21'!Область_печати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EKON</cp:lastModifiedBy>
  <cp:lastPrinted>2016-11-29T06:50:40Z</cp:lastPrinted>
  <dcterms:created xsi:type="dcterms:W3CDTF">2016-09-12T11:33:47Z</dcterms:created>
  <dcterms:modified xsi:type="dcterms:W3CDTF">2016-11-29T07:05:29Z</dcterms:modified>
</cp:coreProperties>
</file>